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2023\Tomada de Preços - 2023\TP XXX-2023 - Reforma Centro Com. Nova União\"/>
    </mc:Choice>
  </mc:AlternateContent>
  <workbookProtection lockStructure="1"/>
  <bookViews>
    <workbookView xWindow="0" yWindow="0" windowWidth="28800" windowHeight="1243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/>
  <c r="A20" i="1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A15" i="1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8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K130" i="4"/>
  <c r="C45" i="4"/>
  <c r="C33" i="4"/>
  <c r="A21" i="11"/>
  <c r="E21" i="13"/>
  <c r="E12" i="13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K91" i="4"/>
  <c r="K90" i="4"/>
  <c r="C3" i="4"/>
  <c r="T283" i="5"/>
  <c r="K278" i="12"/>
  <c r="K131" i="4"/>
  <c r="E14" i="13"/>
  <c r="A14" i="11"/>
  <c r="O8" i="5"/>
  <c r="A19" i="11" l="1"/>
  <c r="E16" i="5" s="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G5" i="5" l="1"/>
  <c r="W8" i="5" s="1"/>
  <c r="AD16" i="5"/>
  <c r="AD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B14" i="11"/>
  <c r="A14" i="13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H17" i="6" l="1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25" i="4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O14" i="5" l="1"/>
  <c r="D14" i="12" s="1"/>
  <c r="U109" i="4"/>
  <c r="K112" i="4" s="1"/>
  <c r="U69" i="4"/>
  <c r="K72" i="4" s="1"/>
  <c r="J20" i="12"/>
  <c r="K20" i="12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W22" i="5" s="1"/>
  <c r="H22" i="12" s="1"/>
  <c r="O12" i="10"/>
  <c r="N11" i="10"/>
  <c r="BD12" i="6"/>
  <c r="BE13" i="6"/>
  <c r="BD18" i="6"/>
  <c r="K32" i="4"/>
  <c r="J32" i="4"/>
  <c r="Y14" i="12"/>
  <c r="W14" i="12" s="1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E14" i="6" l="1"/>
  <c r="J112" i="4"/>
  <c r="J72" i="4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G23" i="5" l="1"/>
  <c r="AF20" i="6"/>
  <c r="AH20" i="6"/>
  <c r="AX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F24" i="5" l="1"/>
  <c r="K24" i="5"/>
  <c r="L23" i="12"/>
  <c r="K23" i="12" s="1"/>
  <c r="X18" i="12"/>
  <c r="AG21" i="6"/>
  <c r="AC21" i="6"/>
  <c r="A23" i="6"/>
  <c r="N23" i="6" s="1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X23" i="5"/>
  <c r="AB21" i="5"/>
  <c r="C21" i="6"/>
  <c r="B26" i="7"/>
  <c r="C27" i="7"/>
  <c r="H24" i="6"/>
  <c r="T24" i="5" s="1"/>
  <c r="C21" i="12"/>
  <c r="O21" i="12"/>
  <c r="M21" i="12"/>
  <c r="AO21" i="12"/>
  <c r="Y20" i="12"/>
  <c r="A24" i="6"/>
  <c r="N24" i="6" s="1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I23" i="12"/>
  <c r="L23" i="5"/>
  <c r="AM23" i="5"/>
  <c r="Z23" i="5"/>
  <c r="A25" i="6"/>
  <c r="N25" i="6" s="1"/>
  <c r="H25" i="6"/>
  <c r="T25" i="5" s="1"/>
  <c r="X20" i="12"/>
  <c r="W20" i="12"/>
  <c r="M24" i="6"/>
  <c r="AI24" i="6" s="1"/>
  <c r="R11" i="9"/>
  <c r="S12" i="9"/>
  <c r="T19" i="12"/>
  <c r="U19" i="12"/>
  <c r="V19" i="12"/>
  <c r="W21" i="12" l="1"/>
  <c r="T21" i="12" s="1"/>
  <c r="L26" i="12"/>
  <c r="K26" i="12" s="1"/>
  <c r="AE27" i="5"/>
  <c r="H27" i="5"/>
  <c r="G27" i="5"/>
  <c r="W27" i="5"/>
  <c r="H27" i="12" s="1"/>
  <c r="K27" i="5"/>
  <c r="F27" i="5"/>
  <c r="E27" i="5"/>
  <c r="C28" i="5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AB23" i="5"/>
  <c r="C23" i="12"/>
  <c r="O23" i="12"/>
  <c r="M23" i="12"/>
  <c r="AO23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C29" i="7"/>
  <c r="B28" i="7"/>
  <c r="L27" i="12"/>
  <c r="J27" i="12"/>
  <c r="AK24" i="6"/>
  <c r="AM24" i="5"/>
  <c r="L24" i="5"/>
  <c r="I24" i="12"/>
  <c r="Z24" i="5"/>
  <c r="N28" i="5" l="1"/>
  <c r="D28" i="6" s="1"/>
  <c r="V21" i="12"/>
  <c r="U21" i="12"/>
  <c r="AQ25" i="6"/>
  <c r="Y23" i="12"/>
  <c r="W23" i="12" s="1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N26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C30" i="7"/>
  <c r="B29" i="7"/>
  <c r="U12" i="9"/>
  <c r="T11" i="9"/>
  <c r="H27" i="6"/>
  <c r="T27" i="5" s="1"/>
  <c r="A27" i="6"/>
  <c r="N27" i="6" s="1"/>
  <c r="AB24" i="5"/>
  <c r="C24" i="6"/>
  <c r="L25" i="5"/>
  <c r="I25" i="12"/>
  <c r="AM25" i="5"/>
  <c r="Z25" i="5"/>
  <c r="N23" i="12"/>
  <c r="G26" i="12"/>
  <c r="X26" i="5"/>
  <c r="AG26" i="6"/>
  <c r="AB26" i="6"/>
  <c r="F29" i="5" l="1"/>
  <c r="X23" i="12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N28" i="6" s="1"/>
  <c r="AB25" i="5"/>
  <c r="C25" i="6"/>
  <c r="G27" i="12"/>
  <c r="X27" i="5"/>
  <c r="L26" i="5"/>
  <c r="AM26" i="5"/>
  <c r="I26" i="12"/>
  <c r="Z26" i="5"/>
  <c r="U23" i="12"/>
  <c r="V23" i="12"/>
  <c r="T23" i="12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W24" i="12" l="1"/>
  <c r="V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N29" i="6" s="1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U24" i="12" l="1"/>
  <c r="T24" i="12"/>
  <c r="AZ28" i="6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N30" i="6" s="1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C33" i="5" l="1"/>
  <c r="C34" i="5" s="1"/>
  <c r="X26" i="12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B33" i="5" l="1"/>
  <c r="B34" i="5" s="1"/>
  <c r="AE33" i="5"/>
  <c r="AD33" i="5"/>
  <c r="N33" i="5"/>
  <c r="D33" i="6" s="1"/>
  <c r="E33" i="5"/>
  <c r="E34" i="5" s="1"/>
  <c r="B33" i="6"/>
  <c r="G33" i="5"/>
  <c r="G34" i="5" s="1"/>
  <c r="D33" i="5"/>
  <c r="B33" i="12" s="1"/>
  <c r="H33" i="5"/>
  <c r="H34" i="5" s="1"/>
  <c r="K33" i="5"/>
  <c r="A33" i="12"/>
  <c r="L33" i="12" s="1"/>
  <c r="W33" i="5"/>
  <c r="H33" i="12" s="1"/>
  <c r="J33" i="5"/>
  <c r="F33" i="5"/>
  <c r="F34" i="5" s="1"/>
  <c r="AU30" i="6"/>
  <c r="BG30" i="6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N31" i="6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N34" i="5"/>
  <c r="AE34" i="5"/>
  <c r="J34" i="5"/>
  <c r="A34" i="12"/>
  <c r="D34" i="5"/>
  <c r="B34" i="12" s="1"/>
  <c r="B34" i="6"/>
  <c r="W34" i="5"/>
  <c r="H34" i="12" s="1"/>
  <c r="C35" i="5"/>
  <c r="K34" i="5"/>
  <c r="AD34" i="5"/>
  <c r="H32" i="6"/>
  <c r="T32" i="5" s="1"/>
  <c r="G32" i="12" s="1"/>
  <c r="Y11" i="9"/>
  <c r="Z12" i="9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J33" i="12" l="1"/>
  <c r="K33" i="12" s="1"/>
  <c r="N32" i="6"/>
  <c r="X28" i="12"/>
  <c r="A33" i="6"/>
  <c r="N33" i="6" s="1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B35" i="5"/>
  <c r="F35" i="5"/>
  <c r="W35" i="5"/>
  <c r="H35" i="12" s="1"/>
  <c r="D35" i="5"/>
  <c r="B35" i="12" s="1"/>
  <c r="N35" i="5"/>
  <c r="J35" i="5"/>
  <c r="K35" i="5"/>
  <c r="AE35" i="5"/>
  <c r="G35" i="5"/>
  <c r="A35" i="12"/>
  <c r="AD35" i="5"/>
  <c r="B35" i="6"/>
  <c r="H35" i="5"/>
  <c r="C36" i="5"/>
  <c r="E35" i="5"/>
  <c r="N29" i="12"/>
  <c r="AB30" i="5"/>
  <c r="AA30" i="5"/>
  <c r="C30" i="6"/>
  <c r="O30" i="5"/>
  <c r="AG32" i="6"/>
  <c r="AE32" i="6"/>
  <c r="AC32" i="6"/>
  <c r="L34" i="12"/>
  <c r="J34" i="12"/>
  <c r="D34" i="6"/>
  <c r="H33" i="6"/>
  <c r="T33" i="5" s="1"/>
  <c r="M33" i="6" l="1"/>
  <c r="BC33" i="6" s="1"/>
  <c r="W29" i="12"/>
  <c r="V29" i="12" s="1"/>
  <c r="AB11" i="10"/>
  <c r="AC12" i="10"/>
  <c r="Y30" i="12"/>
  <c r="W30" i="12" s="1"/>
  <c r="H34" i="6"/>
  <c r="T34" i="5" s="1"/>
  <c r="A34" i="6"/>
  <c r="N34" i="6" s="1"/>
  <c r="D30" i="12"/>
  <c r="E30" i="6"/>
  <c r="A36" i="12"/>
  <c r="K36" i="5"/>
  <c r="AD36" i="5"/>
  <c r="N36" i="5"/>
  <c r="B36" i="5"/>
  <c r="F36" i="5"/>
  <c r="E36" i="5"/>
  <c r="W36" i="5"/>
  <c r="H36" i="12" s="1"/>
  <c r="D36" i="5"/>
  <c r="B36" i="12" s="1"/>
  <c r="AE36" i="5"/>
  <c r="H36" i="5"/>
  <c r="J36" i="5"/>
  <c r="B36" i="6"/>
  <c r="C37" i="5"/>
  <c r="G36" i="5"/>
  <c r="L35" i="12"/>
  <c r="J35" i="12"/>
  <c r="D35" i="6"/>
  <c r="C31" i="12"/>
  <c r="M31" i="12"/>
  <c r="AO31" i="12"/>
  <c r="O31" i="12"/>
  <c r="G33" i="12"/>
  <c r="X33" i="5"/>
  <c r="K34" i="12"/>
  <c r="AA11" i="9"/>
  <c r="AB12" i="9"/>
  <c r="AA31" i="5"/>
  <c r="AB31" i="5"/>
  <c r="C31" i="6"/>
  <c r="O31" i="5"/>
  <c r="N30" i="12"/>
  <c r="B36" i="7"/>
  <c r="C37" i="7"/>
  <c r="AD33" i="6" l="1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A35" i="6"/>
  <c r="M35" i="6" s="1"/>
  <c r="Y31" i="12"/>
  <c r="X31" i="12" s="1"/>
  <c r="AD12" i="10"/>
  <c r="AC11" i="10"/>
  <c r="D31" i="12"/>
  <c r="E31" i="6"/>
  <c r="AC12" i="9"/>
  <c r="AB11" i="9"/>
  <c r="AM33" i="5"/>
  <c r="I33" i="12"/>
  <c r="L33" i="5"/>
  <c r="Z33" i="5"/>
  <c r="C38" i="5"/>
  <c r="J37" i="5"/>
  <c r="K37" i="5"/>
  <c r="AD37" i="5"/>
  <c r="A37" i="12"/>
  <c r="AE37" i="5"/>
  <c r="B37" i="5"/>
  <c r="B37" i="6"/>
  <c r="E37" i="5"/>
  <c r="W37" i="5"/>
  <c r="H37" i="12" s="1"/>
  <c r="N37" i="5"/>
  <c r="D37" i="5"/>
  <c r="B37" i="12" s="1"/>
  <c r="F37" i="5"/>
  <c r="G37" i="5"/>
  <c r="H37" i="5"/>
  <c r="D36" i="6"/>
  <c r="B37" i="7"/>
  <c r="C38" i="7"/>
  <c r="T30" i="12"/>
  <c r="V30" i="12"/>
  <c r="U30" i="12"/>
  <c r="H35" i="6"/>
  <c r="T35" i="5" s="1"/>
  <c r="K35" i="12"/>
  <c r="J36" i="12"/>
  <c r="L36" i="12"/>
  <c r="M34" i="6"/>
  <c r="G34" i="12"/>
  <c r="X34" i="5"/>
  <c r="N35" i="6" l="1"/>
  <c r="W31" i="12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K36" i="12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AH35" i="6"/>
  <c r="AK35" i="6"/>
  <c r="AB35" i="6"/>
  <c r="AD35" i="6"/>
  <c r="AG35" i="6"/>
  <c r="D37" i="6"/>
  <c r="L37" i="12"/>
  <c r="J37" i="12"/>
  <c r="D38" i="5"/>
  <c r="B38" i="12" s="1"/>
  <c r="W38" i="5"/>
  <c r="H38" i="12" s="1"/>
  <c r="C39" i="5"/>
  <c r="E38" i="5"/>
  <c r="F38" i="5"/>
  <c r="G38" i="5"/>
  <c r="A38" i="12"/>
  <c r="K38" i="5"/>
  <c r="AE38" i="5"/>
  <c r="H38" i="5"/>
  <c r="B38" i="6"/>
  <c r="N38" i="5"/>
  <c r="J38" i="5"/>
  <c r="B38" i="5"/>
  <c r="AD38" i="5"/>
  <c r="C33" i="6"/>
  <c r="O33" i="5"/>
  <c r="AC11" i="9"/>
  <c r="AD12" i="9"/>
  <c r="AF35" i="6"/>
  <c r="AE35" i="6"/>
  <c r="AI35" i="6"/>
  <c r="AC35" i="6"/>
  <c r="B38" i="7"/>
  <c r="C39" i="7"/>
  <c r="H36" i="6"/>
  <c r="T36" i="5" s="1"/>
  <c r="AA33" i="5"/>
  <c r="AB33" i="5"/>
  <c r="C33" i="12"/>
  <c r="M33" i="12"/>
  <c r="AO33" i="12"/>
  <c r="O33" i="12"/>
  <c r="N33" i="12" l="1"/>
  <c r="A37" i="6"/>
  <c r="M37" i="6" s="1"/>
  <c r="AM37" i="6" s="1"/>
  <c r="V31" i="12"/>
  <c r="T31" i="12"/>
  <c r="N36" i="6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D38" i="6"/>
  <c r="J38" i="12"/>
  <c r="L38" i="12"/>
  <c r="E39" i="5"/>
  <c r="C40" i="5"/>
  <c r="W39" i="5"/>
  <c r="H39" i="12" s="1"/>
  <c r="A39" i="12"/>
  <c r="AD39" i="5"/>
  <c r="F39" i="5"/>
  <c r="G39" i="5"/>
  <c r="H39" i="5"/>
  <c r="B39" i="6"/>
  <c r="B39" i="5"/>
  <c r="J39" i="5"/>
  <c r="D39" i="5"/>
  <c r="B39" i="12" s="1"/>
  <c r="K39" i="5"/>
  <c r="AE39" i="5"/>
  <c r="N39" i="5"/>
  <c r="H37" i="6"/>
  <c r="T37" i="5" s="1"/>
  <c r="AM35" i="5"/>
  <c r="I35" i="12"/>
  <c r="L35" i="5"/>
  <c r="Z35" i="5"/>
  <c r="AA34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E33" i="6"/>
  <c r="D33" i="12"/>
  <c r="K37" i="12"/>
  <c r="C34" i="6"/>
  <c r="O34" i="5"/>
  <c r="C34" i="12"/>
  <c r="O34" i="12"/>
  <c r="M34" i="12"/>
  <c r="AO34" i="12"/>
  <c r="N37" i="6" l="1"/>
  <c r="X33" i="12"/>
  <c r="A38" i="6"/>
  <c r="M38" i="6" s="1"/>
  <c r="AV38" i="6" s="1"/>
  <c r="Y34" i="12"/>
  <c r="W34" i="12" s="1"/>
  <c r="AS37" i="6"/>
  <c r="AU37" i="6"/>
  <c r="AN37" i="6"/>
  <c r="AP37" i="6"/>
  <c r="AV37" i="6"/>
  <c r="BB37" i="6"/>
  <c r="AK37" i="6"/>
  <c r="K38" i="12"/>
  <c r="N34" i="12"/>
  <c r="E34" i="6"/>
  <c r="D34" i="12"/>
  <c r="B40" i="7"/>
  <c r="C41" i="7"/>
  <c r="AB35" i="5"/>
  <c r="AA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D39" i="6"/>
  <c r="W40" i="5"/>
  <c r="H40" i="12" s="1"/>
  <c r="F40" i="5"/>
  <c r="E40" i="5"/>
  <c r="G40" i="5"/>
  <c r="B40" i="5"/>
  <c r="K40" i="5"/>
  <c r="H40" i="5"/>
  <c r="N40" i="5"/>
  <c r="D40" i="5"/>
  <c r="B40" i="12" s="1"/>
  <c r="AE40" i="5"/>
  <c r="J40" i="5"/>
  <c r="AD40" i="5"/>
  <c r="B40" i="6"/>
  <c r="A40" i="12"/>
  <c r="C41" i="5"/>
  <c r="V33" i="12"/>
  <c r="U33" i="12"/>
  <c r="T33" i="12"/>
  <c r="AM36" i="5"/>
  <c r="I36" i="12"/>
  <c r="L36" i="5"/>
  <c r="Z36" i="5"/>
  <c r="C35" i="6"/>
  <c r="O35" i="5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L39" i="12"/>
  <c r="J39" i="12"/>
  <c r="H38" i="6"/>
  <c r="T38" i="5" s="1"/>
  <c r="X34" i="12" l="1"/>
  <c r="A39" i="6"/>
  <c r="M39" i="6" s="1"/>
  <c r="N38" i="6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L37" i="5"/>
  <c r="I37" i="12"/>
  <c r="AM37" i="5"/>
  <c r="Z37" i="5"/>
  <c r="E35" i="6"/>
  <c r="D35" i="12"/>
  <c r="C36" i="12"/>
  <c r="M36" i="12"/>
  <c r="O36" i="12"/>
  <c r="AO36" i="12"/>
  <c r="J40" i="12"/>
  <c r="L40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K39" i="12"/>
  <c r="AB36" i="5"/>
  <c r="AA36" i="5"/>
  <c r="C36" i="6"/>
  <c r="O36" i="5"/>
  <c r="D41" i="5"/>
  <c r="B41" i="12" s="1"/>
  <c r="AE41" i="5"/>
  <c r="K41" i="5"/>
  <c r="H41" i="5"/>
  <c r="AD41" i="5"/>
  <c r="J41" i="5"/>
  <c r="E41" i="5"/>
  <c r="G41" i="5"/>
  <c r="B41" i="6"/>
  <c r="A41" i="12"/>
  <c r="F41" i="5"/>
  <c r="N41" i="5"/>
  <c r="W41" i="5"/>
  <c r="H41" i="12" s="1"/>
  <c r="B41" i="5"/>
  <c r="C42" i="5"/>
  <c r="D40" i="6"/>
  <c r="H39" i="6"/>
  <c r="T39" i="5" s="1"/>
  <c r="N39" i="6" l="1"/>
  <c r="X35" i="12"/>
  <c r="AH39" i="6"/>
  <c r="BD39" i="6"/>
  <c r="K40" i="12"/>
  <c r="Y36" i="12"/>
  <c r="W36" i="12" s="1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A40" i="6"/>
  <c r="N40" i="6" s="1"/>
  <c r="D41" i="6"/>
  <c r="L41" i="12"/>
  <c r="J41" i="12"/>
  <c r="B42" i="7"/>
  <c r="C43" i="7"/>
  <c r="AA37" i="5"/>
  <c r="AB37" i="5"/>
  <c r="C37" i="12"/>
  <c r="O37" i="12"/>
  <c r="M37" i="12"/>
  <c r="AO37" i="12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X39" i="5"/>
  <c r="H42" i="5"/>
  <c r="W42" i="5"/>
  <c r="H42" i="12" s="1"/>
  <c r="F42" i="5"/>
  <c r="A42" i="12"/>
  <c r="G42" i="5"/>
  <c r="AE42" i="5"/>
  <c r="K42" i="5"/>
  <c r="E42" i="5"/>
  <c r="D42" i="5"/>
  <c r="B42" i="12" s="1"/>
  <c r="B42" i="5"/>
  <c r="C43" i="5" s="1"/>
  <c r="B42" i="6"/>
  <c r="AD42" i="5"/>
  <c r="J42" i="5"/>
  <c r="N42" i="5"/>
  <c r="E36" i="6"/>
  <c r="D36" i="12"/>
  <c r="V35" i="12"/>
  <c r="T35" i="12"/>
  <c r="U35" i="12"/>
  <c r="N36" i="12"/>
  <c r="C37" i="6"/>
  <c r="O37" i="5"/>
  <c r="X36" i="12" l="1"/>
  <c r="Y37" i="12"/>
  <c r="X37" i="12" s="1"/>
  <c r="A41" i="6"/>
  <c r="N41" i="6" s="1"/>
  <c r="N37" i="12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AB38" i="5"/>
  <c r="AA38" i="5"/>
  <c r="T36" i="12"/>
  <c r="V36" i="12"/>
  <c r="U36" i="12"/>
  <c r="B43" i="7"/>
  <c r="C44" i="7"/>
  <c r="E37" i="6"/>
  <c r="D37" i="12"/>
  <c r="L39" i="5"/>
  <c r="I39" i="12"/>
  <c r="AM39" i="5"/>
  <c r="Z39" i="5"/>
  <c r="C38" i="12"/>
  <c r="AO38" i="12"/>
  <c r="O38" i="12"/>
  <c r="M38" i="12"/>
  <c r="C38" i="6"/>
  <c r="O38" i="5"/>
  <c r="K41" i="12"/>
  <c r="H41" i="6"/>
  <c r="T41" i="5" s="1"/>
  <c r="M40" i="6"/>
  <c r="G40" i="12"/>
  <c r="X40" i="5"/>
  <c r="W37" i="12" l="1"/>
  <c r="U37" i="12" s="1"/>
  <c r="A42" i="6"/>
  <c r="M42" i="6" s="1"/>
  <c r="AS42" i="6" s="1"/>
  <c r="M41" i="6"/>
  <c r="AP41" i="6" s="1"/>
  <c r="N38" i="12"/>
  <c r="K42" i="12"/>
  <c r="AA39" i="5"/>
  <c r="AB39" i="5"/>
  <c r="C39" i="6"/>
  <c r="O39" i="5"/>
  <c r="E44" i="5"/>
  <c r="G44" i="5"/>
  <c r="H44" i="5"/>
  <c r="AE44" i="5"/>
  <c r="D44" i="5"/>
  <c r="B44" i="12" s="1"/>
  <c r="W44" i="5"/>
  <c r="H44" i="12" s="1"/>
  <c r="K44" i="5"/>
  <c r="B44" i="6"/>
  <c r="AD44" i="5"/>
  <c r="A44" i="12"/>
  <c r="B44" i="5"/>
  <c r="C45" i="5" s="1"/>
  <c r="F44" i="5"/>
  <c r="J44" i="5"/>
  <c r="N44" i="5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E38" i="6"/>
  <c r="D38" i="12"/>
  <c r="Y38" i="12"/>
  <c r="C39" i="12"/>
  <c r="O39" i="12"/>
  <c r="M39" i="12"/>
  <c r="AO39" i="12"/>
  <c r="B44" i="7"/>
  <c r="C45" i="7"/>
  <c r="D43" i="6"/>
  <c r="H42" i="6"/>
  <c r="T42" i="5" s="1"/>
  <c r="V37" i="12" l="1"/>
  <c r="Y39" i="12"/>
  <c r="W39" i="12" s="1"/>
  <c r="T37" i="12"/>
  <c r="N42" i="6"/>
  <c r="AY41" i="6"/>
  <c r="A43" i="6"/>
  <c r="N43" i="6" s="1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N39" i="12"/>
  <c r="AG42" i="6"/>
  <c r="AB42" i="6"/>
  <c r="AO42" i="6"/>
  <c r="AX42" i="6"/>
  <c r="AF42" i="6"/>
  <c r="AD42" i="6"/>
  <c r="AK42" i="6"/>
  <c r="B45" i="7"/>
  <c r="C46" i="7"/>
  <c r="X38" i="12"/>
  <c r="W38" i="12"/>
  <c r="C40" i="6"/>
  <c r="O40" i="5"/>
  <c r="B45" i="5"/>
  <c r="C46" i="5"/>
  <c r="N45" i="5"/>
  <c r="G45" i="5"/>
  <c r="E45" i="5"/>
  <c r="AE45" i="5"/>
  <c r="H45" i="5"/>
  <c r="B45" i="6"/>
  <c r="AD45" i="5"/>
  <c r="A45" i="12"/>
  <c r="W45" i="5"/>
  <c r="H45" i="12" s="1"/>
  <c r="F45" i="5"/>
  <c r="E39" i="6"/>
  <c r="D39" i="12"/>
  <c r="AH42" i="6"/>
  <c r="BG42" i="6"/>
  <c r="BA42" i="6"/>
  <c r="BB42" i="6"/>
  <c r="G42" i="12"/>
  <c r="X42" i="5"/>
  <c r="AC42" i="6"/>
  <c r="AM42" i="6"/>
  <c r="BD42" i="6"/>
  <c r="BE42" i="6"/>
  <c r="AZ42" i="6"/>
  <c r="AQ42" i="6"/>
  <c r="AJ42" i="6"/>
  <c r="AI42" i="6"/>
  <c r="AT42" i="6"/>
  <c r="AE42" i="6"/>
  <c r="H43" i="6"/>
  <c r="T43" i="5" s="1"/>
  <c r="G43" i="12" s="1"/>
  <c r="I41" i="12"/>
  <c r="L41" i="5"/>
  <c r="AM41" i="5"/>
  <c r="Z41" i="5"/>
  <c r="AB40" i="5"/>
  <c r="AA40" i="5"/>
  <c r="C40" i="12"/>
  <c r="AO40" i="12"/>
  <c r="O40" i="12"/>
  <c r="M40" i="12"/>
  <c r="D44" i="6"/>
  <c r="L44" i="12"/>
  <c r="J44" i="12"/>
  <c r="X39" i="12" l="1"/>
  <c r="M43" i="6"/>
  <c r="AU43" i="6" s="1"/>
  <c r="N40" i="12"/>
  <c r="K44" i="12"/>
  <c r="H44" i="6"/>
  <c r="T44" i="5" s="1"/>
  <c r="AA41" i="5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AD46" i="5"/>
  <c r="J46" i="5"/>
  <c r="C47" i="5"/>
  <c r="G46" i="5"/>
  <c r="B46" i="6"/>
  <c r="D46" i="5"/>
  <c r="B46" i="12" s="1"/>
  <c r="E46" i="5"/>
  <c r="B46" i="5"/>
  <c r="E40" i="6"/>
  <c r="D40" i="12"/>
  <c r="T38" i="12"/>
  <c r="V38" i="12"/>
  <c r="U38" i="12"/>
  <c r="V39" i="12"/>
  <c r="U39" i="12"/>
  <c r="T39" i="12"/>
  <c r="C47" i="7"/>
  <c r="B46" i="7"/>
  <c r="Y40" i="12"/>
  <c r="C41" i="6"/>
  <c r="O41" i="5"/>
  <c r="I42" i="12"/>
  <c r="L42" i="5"/>
  <c r="AM42" i="5"/>
  <c r="Z42" i="5"/>
  <c r="A44" i="6"/>
  <c r="N44" i="6" s="1"/>
  <c r="F45" i="6"/>
  <c r="E45" i="12"/>
  <c r="D45" i="6"/>
  <c r="AD43" i="6" l="1"/>
  <c r="AF43" i="6"/>
  <c r="AC43" i="6"/>
  <c r="AH43" i="6"/>
  <c r="BE43" i="6"/>
  <c r="AG43" i="6"/>
  <c r="AP43" i="6"/>
  <c r="BF43" i="6"/>
  <c r="AN43" i="6"/>
  <c r="AM43" i="6"/>
  <c r="AK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AA42" i="5"/>
  <c r="AB42" i="5"/>
  <c r="C42" i="6"/>
  <c r="O42" i="5"/>
  <c r="D41" i="12"/>
  <c r="E41" i="6"/>
  <c r="X40" i="12"/>
  <c r="W40" i="12"/>
  <c r="C48" i="7"/>
  <c r="B47" i="7"/>
  <c r="C48" i="5"/>
  <c r="AE47" i="5"/>
  <c r="G47" i="5"/>
  <c r="W47" i="5"/>
  <c r="H47" i="12" s="1"/>
  <c r="B47" i="5"/>
  <c r="J47" i="5"/>
  <c r="D47" i="5"/>
  <c r="B47" i="12" s="1"/>
  <c r="K47" i="5"/>
  <c r="AD47" i="5"/>
  <c r="E47" i="5"/>
  <c r="F47" i="5"/>
  <c r="B47" i="6"/>
  <c r="N47" i="5"/>
  <c r="A47" i="12"/>
  <c r="H47" i="5"/>
  <c r="D46" i="6"/>
  <c r="G44" i="12"/>
  <c r="X44" i="5"/>
  <c r="H45" i="6"/>
  <c r="T45" i="5" s="1"/>
  <c r="G45" i="6"/>
  <c r="C42" i="12"/>
  <c r="O42" i="12"/>
  <c r="AO42" i="12"/>
  <c r="M42" i="12"/>
  <c r="J46" i="12"/>
  <c r="L46" i="12"/>
  <c r="A45" i="6"/>
  <c r="N45" i="6" s="1"/>
  <c r="Y41" i="12"/>
  <c r="M44" i="6"/>
  <c r="AJ44" i="6" s="1"/>
  <c r="K46" i="12" l="1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AD44" i="6"/>
  <c r="AC44" i="6"/>
  <c r="AM44" i="5"/>
  <c r="I44" i="12"/>
  <c r="L44" i="5"/>
  <c r="Z44" i="5"/>
  <c r="H46" i="6"/>
  <c r="T46" i="5" s="1"/>
  <c r="L47" i="12"/>
  <c r="J47" i="12"/>
  <c r="A46" i="6"/>
  <c r="B48" i="7"/>
  <c r="C49" i="7"/>
  <c r="AF44" i="6"/>
  <c r="AB44" i="6"/>
  <c r="AK44" i="6"/>
  <c r="Y42" i="12"/>
  <c r="M45" i="6"/>
  <c r="AD45" i="6" s="1"/>
  <c r="AI44" i="6"/>
  <c r="AH44" i="6"/>
  <c r="D47" i="6"/>
  <c r="W48" i="5"/>
  <c r="H48" i="12" s="1"/>
  <c r="AE48" i="5"/>
  <c r="N48" i="5"/>
  <c r="AD48" i="5"/>
  <c r="J48" i="5"/>
  <c r="F48" i="5"/>
  <c r="B48" i="6"/>
  <c r="C49" i="5"/>
  <c r="G48" i="5"/>
  <c r="D48" i="5"/>
  <c r="B48" i="12" s="1"/>
  <c r="E48" i="5"/>
  <c r="H48" i="5"/>
  <c r="A48" i="12"/>
  <c r="K48" i="5"/>
  <c r="B48" i="5"/>
  <c r="U40" i="12"/>
  <c r="V40" i="12"/>
  <c r="T40" i="12"/>
  <c r="E42" i="6"/>
  <c r="D42" i="12"/>
  <c r="AJ45" i="6" l="1"/>
  <c r="K47" i="12"/>
  <c r="A47" i="6"/>
  <c r="N47" i="6" s="1"/>
  <c r="AE45" i="6"/>
  <c r="AB45" i="6"/>
  <c r="AC45" i="6"/>
  <c r="X42" i="12"/>
  <c r="W42" i="12"/>
  <c r="B49" i="7"/>
  <c r="C50" i="7"/>
  <c r="N46" i="6"/>
  <c r="M46" i="6"/>
  <c r="AG46" i="6" s="1"/>
  <c r="C44" i="6"/>
  <c r="O44" i="5"/>
  <c r="J48" i="12"/>
  <c r="L48" i="12"/>
  <c r="B49" i="5"/>
  <c r="AE49" i="5"/>
  <c r="W49" i="5"/>
  <c r="H49" i="12" s="1"/>
  <c r="D49" i="5"/>
  <c r="B49" i="12" s="1"/>
  <c r="E49" i="5"/>
  <c r="A49" i="12"/>
  <c r="H49" i="5"/>
  <c r="N49" i="5"/>
  <c r="G49" i="5"/>
  <c r="F49" i="5"/>
  <c r="B49" i="6"/>
  <c r="K49" i="5"/>
  <c r="J49" i="5"/>
  <c r="C50" i="5"/>
  <c r="AD49" i="5"/>
  <c r="D48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A44" i="5"/>
  <c r="AB44" i="5"/>
  <c r="C44" i="12"/>
  <c r="M44" i="12"/>
  <c r="O44" i="12"/>
  <c r="AO44" i="12"/>
  <c r="T41" i="12"/>
  <c r="V41" i="12"/>
  <c r="U41" i="12"/>
  <c r="M47" i="6" l="1"/>
  <c r="BA47" i="6" s="1"/>
  <c r="K48" i="12"/>
  <c r="N44" i="12"/>
  <c r="AM46" i="5"/>
  <c r="I46" i="12"/>
  <c r="L46" i="5"/>
  <c r="Z46" i="5"/>
  <c r="G50" i="5"/>
  <c r="AE50" i="5"/>
  <c r="N50" i="5"/>
  <c r="W50" i="5"/>
  <c r="H50" i="12" s="1"/>
  <c r="B50" i="6"/>
  <c r="AD50" i="5"/>
  <c r="A50" i="12"/>
  <c r="B50" i="5"/>
  <c r="J50" i="5"/>
  <c r="H50" i="5"/>
  <c r="K50" i="5"/>
  <c r="D50" i="5"/>
  <c r="B50" i="12" s="1"/>
  <c r="F50" i="5"/>
  <c r="E50" i="5"/>
  <c r="C51" i="5"/>
  <c r="E44" i="6"/>
  <c r="D44" i="12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Y44" i="12"/>
  <c r="AB46" i="6"/>
  <c r="AC46" i="6"/>
  <c r="G47" i="12"/>
  <c r="X47" i="5"/>
  <c r="H48" i="6"/>
  <c r="T48" i="5" s="1"/>
  <c r="D49" i="6"/>
  <c r="J49" i="12"/>
  <c r="L49" i="12"/>
  <c r="A48" i="6"/>
  <c r="N48" i="6" s="1"/>
  <c r="AH47" i="6" l="1"/>
  <c r="BF47" i="6"/>
  <c r="BB47" i="6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H49" i="6"/>
  <c r="T49" i="5" s="1"/>
  <c r="G48" i="12"/>
  <c r="X48" i="5"/>
  <c r="F51" i="5"/>
  <c r="C52" i="5"/>
  <c r="AD51" i="5"/>
  <c r="K51" i="5"/>
  <c r="E51" i="5"/>
  <c r="B51" i="6"/>
  <c r="J51" i="5"/>
  <c r="AE51" i="5"/>
  <c r="N51" i="5"/>
  <c r="D51" i="5"/>
  <c r="B51" i="12" s="1"/>
  <c r="A51" i="12"/>
  <c r="W51" i="5"/>
  <c r="H51" i="12" s="1"/>
  <c r="H51" i="5"/>
  <c r="G51" i="5"/>
  <c r="B51" i="5"/>
  <c r="C46" i="12"/>
  <c r="O46" i="12"/>
  <c r="AO46" i="12"/>
  <c r="M46" i="12"/>
  <c r="K49" i="12"/>
  <c r="A49" i="6"/>
  <c r="M49" i="6" s="1"/>
  <c r="M48" i="6"/>
  <c r="AF48" i="6" s="1"/>
  <c r="I47" i="12"/>
  <c r="AM47" i="5"/>
  <c r="L47" i="5"/>
  <c r="Z47" i="5"/>
  <c r="W44" i="12"/>
  <c r="X44" i="12"/>
  <c r="C52" i="7"/>
  <c r="B51" i="7"/>
  <c r="J50" i="12"/>
  <c r="L50" i="12"/>
  <c r="D50" i="6"/>
  <c r="AB46" i="5"/>
  <c r="C46" i="6"/>
  <c r="A50" i="6" l="1"/>
  <c r="M50" i="6" s="1"/>
  <c r="BD50" i="6" s="1"/>
  <c r="AC48" i="6"/>
  <c r="AH48" i="6"/>
  <c r="K50" i="12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AB47" i="5"/>
  <c r="N46" i="12"/>
  <c r="J51" i="12"/>
  <c r="L51" i="12"/>
  <c r="E52" i="5"/>
  <c r="D52" i="5"/>
  <c r="B52" i="12" s="1"/>
  <c r="J52" i="5"/>
  <c r="A52" i="12"/>
  <c r="AE52" i="5"/>
  <c r="F52" i="5"/>
  <c r="G52" i="5"/>
  <c r="B52" i="5"/>
  <c r="C53" i="5" s="1"/>
  <c r="W52" i="5"/>
  <c r="H52" i="12" s="1"/>
  <c r="K52" i="5"/>
  <c r="N52" i="5"/>
  <c r="H52" i="5"/>
  <c r="B52" i="6"/>
  <c r="AD52" i="5"/>
  <c r="L48" i="5"/>
  <c r="I48" i="12"/>
  <c r="AM48" i="5"/>
  <c r="Z48" i="5"/>
  <c r="H50" i="6"/>
  <c r="T50" i="5" s="1"/>
  <c r="C53" i="7"/>
  <c r="B52" i="7"/>
  <c r="V44" i="12"/>
  <c r="T44" i="12"/>
  <c r="U44" i="12"/>
  <c r="C47" i="6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D51" i="6"/>
  <c r="AG48" i="6"/>
  <c r="AD48" i="6"/>
  <c r="G49" i="12"/>
  <c r="X49" i="5"/>
  <c r="AF49" i="6"/>
  <c r="AC49" i="6"/>
  <c r="AH49" i="6"/>
  <c r="N49" i="6"/>
  <c r="A51" i="6" l="1"/>
  <c r="M51" i="6" s="1"/>
  <c r="AY51" i="6" s="1"/>
  <c r="N50" i="6"/>
  <c r="AN50" i="6"/>
  <c r="AJ50" i="6"/>
  <c r="AH50" i="6"/>
  <c r="AR50" i="6"/>
  <c r="BC50" i="6"/>
  <c r="BF50" i="6"/>
  <c r="AM50" i="6"/>
  <c r="BG50" i="6"/>
  <c r="BA50" i="6"/>
  <c r="AS50" i="6"/>
  <c r="AT50" i="6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K51" i="12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AB48" i="5"/>
  <c r="C48" i="12"/>
  <c r="AO48" i="12"/>
  <c r="M48" i="12"/>
  <c r="O48" i="12"/>
  <c r="I49" i="12"/>
  <c r="AM49" i="5"/>
  <c r="L49" i="5"/>
  <c r="Z49" i="5"/>
  <c r="H51" i="6"/>
  <c r="T51" i="5" s="1"/>
  <c r="Y47" i="12"/>
  <c r="C54" i="7"/>
  <c r="B53" i="7"/>
  <c r="AB50" i="6"/>
  <c r="AK50" i="6"/>
  <c r="AD50" i="6"/>
  <c r="AE50" i="6"/>
  <c r="AF50" i="6"/>
  <c r="C48" i="6"/>
  <c r="D52" i="6"/>
  <c r="L52" i="12"/>
  <c r="J52" i="12"/>
  <c r="N51" i="6" l="1"/>
  <c r="BA51" i="6"/>
  <c r="AZ51" i="6"/>
  <c r="AF51" i="6"/>
  <c r="AU51" i="6"/>
  <c r="AS51" i="6"/>
  <c r="AQ51" i="6"/>
  <c r="N48" i="12"/>
  <c r="AP51" i="6"/>
  <c r="BG51" i="6"/>
  <c r="AV51" i="6"/>
  <c r="AO51" i="6"/>
  <c r="BC51" i="6"/>
  <c r="K52" i="12"/>
  <c r="BE51" i="6"/>
  <c r="BB51" i="6"/>
  <c r="BF51" i="6"/>
  <c r="BD51" i="6"/>
  <c r="AC51" i="6"/>
  <c r="AM51" i="6"/>
  <c r="AT51" i="6"/>
  <c r="AR51" i="6"/>
  <c r="AH51" i="6"/>
  <c r="AX51" i="6"/>
  <c r="AN51" i="6"/>
  <c r="H52" i="6"/>
  <c r="T52" i="5" s="1"/>
  <c r="W47" i="12"/>
  <c r="X47" i="12"/>
  <c r="G51" i="12"/>
  <c r="X51" i="5"/>
  <c r="C49" i="6"/>
  <c r="C49" i="12"/>
  <c r="M49" i="12"/>
  <c r="AO49" i="12"/>
  <c r="O49" i="12"/>
  <c r="Y48" i="12"/>
  <c r="L50" i="5"/>
  <c r="I50" i="12"/>
  <c r="AM50" i="5"/>
  <c r="Z50" i="5"/>
  <c r="U46" i="12"/>
  <c r="V46" i="12"/>
  <c r="T46" i="12"/>
  <c r="D53" i="6"/>
  <c r="C55" i="7"/>
  <c r="B54" i="7"/>
  <c r="AD51" i="6"/>
  <c r="AB51" i="6"/>
  <c r="AK51" i="6"/>
  <c r="AI51" i="6"/>
  <c r="AE51" i="6"/>
  <c r="AJ51" i="6"/>
  <c r="AG51" i="6"/>
  <c r="AB49" i="5"/>
  <c r="A52" i="6"/>
  <c r="M52" i="6" s="1"/>
  <c r="J54" i="5"/>
  <c r="AE54" i="5"/>
  <c r="E54" i="5"/>
  <c r="F54" i="5"/>
  <c r="B54" i="5"/>
  <c r="H54" i="5"/>
  <c r="A54" i="12"/>
  <c r="C55" i="5"/>
  <c r="AD54" i="5"/>
  <c r="K54" i="5"/>
  <c r="N54" i="5"/>
  <c r="D54" i="5"/>
  <c r="B54" i="12" s="1"/>
  <c r="G54" i="5"/>
  <c r="B54" i="6"/>
  <c r="W54" i="5"/>
  <c r="H54" i="12" s="1"/>
  <c r="A53" i="6" l="1"/>
  <c r="N53" i="6" s="1"/>
  <c r="N49" i="12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H53" i="6"/>
  <c r="T53" i="5" s="1"/>
  <c r="G53" i="12" s="1"/>
  <c r="AB50" i="5"/>
  <c r="C50" i="12"/>
  <c r="O50" i="12"/>
  <c r="M50" i="12"/>
  <c r="AO50" i="12"/>
  <c r="W48" i="12"/>
  <c r="X48" i="12"/>
  <c r="V47" i="12"/>
  <c r="U47" i="12"/>
  <c r="T47" i="12"/>
  <c r="N52" i="6"/>
  <c r="D54" i="6"/>
  <c r="J54" i="12"/>
  <c r="L54" i="12"/>
  <c r="B55" i="7"/>
  <c r="C56" i="7"/>
  <c r="C50" i="6"/>
  <c r="AM51" i="5"/>
  <c r="L51" i="5"/>
  <c r="I51" i="12"/>
  <c r="Z51" i="5"/>
  <c r="G52" i="12"/>
  <c r="X52" i="5"/>
  <c r="AC52" i="6"/>
  <c r="AJ52" i="6"/>
  <c r="M53" i="6" l="1"/>
  <c r="AX53" i="6" s="1"/>
  <c r="W49" i="12"/>
  <c r="U49" i="12" s="1"/>
  <c r="Y50" i="12"/>
  <c r="X50" i="12" s="1"/>
  <c r="N50" i="12"/>
  <c r="K54" i="12"/>
  <c r="AB51" i="5"/>
  <c r="C51" i="12"/>
  <c r="M51" i="12"/>
  <c r="O51" i="12"/>
  <c r="AO51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B56" i="5"/>
  <c r="I52" i="12"/>
  <c r="L52" i="5"/>
  <c r="AM52" i="5"/>
  <c r="Z52" i="5"/>
  <c r="C51" i="6"/>
  <c r="C57" i="7"/>
  <c r="B56" i="7"/>
  <c r="H54" i="6"/>
  <c r="T54" i="5" s="1"/>
  <c r="V48" i="12"/>
  <c r="T48" i="12"/>
  <c r="U48" i="12"/>
  <c r="D55" i="6"/>
  <c r="A54" i="6"/>
  <c r="N54" i="6" s="1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Y51" i="12"/>
  <c r="W51" i="12" s="1"/>
  <c r="K55" i="12"/>
  <c r="H55" i="6"/>
  <c r="T55" i="5" s="1"/>
  <c r="G54" i="12"/>
  <c r="X54" i="5"/>
  <c r="M54" i="6"/>
  <c r="AH54" i="6" s="1"/>
  <c r="B57" i="7"/>
  <c r="C58" i="7"/>
  <c r="C52" i="12"/>
  <c r="AO52" i="12"/>
  <c r="M52" i="12"/>
  <c r="O52" i="12"/>
  <c r="J56" i="12"/>
  <c r="L56" i="12"/>
  <c r="D56" i="6"/>
  <c r="A55" i="6"/>
  <c r="N55" i="6" s="1"/>
  <c r="AB52" i="5"/>
  <c r="C52" i="6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N51" i="12"/>
  <c r="V50" i="12" l="1"/>
  <c r="T50" i="12"/>
  <c r="X51" i="12"/>
  <c r="AG54" i="6"/>
  <c r="A56" i="6"/>
  <c r="M56" i="6" s="1"/>
  <c r="K56" i="12"/>
  <c r="N52" i="12"/>
  <c r="AE54" i="6"/>
  <c r="D57" i="6"/>
  <c r="H56" i="6"/>
  <c r="T56" i="5" s="1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G55" i="12"/>
  <c r="X55" i="5"/>
  <c r="B58" i="5"/>
  <c r="W58" i="5"/>
  <c r="H58" i="12" s="1"/>
  <c r="J58" i="5"/>
  <c r="F58" i="5"/>
  <c r="AD58" i="5"/>
  <c r="C59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AB54" i="6"/>
  <c r="AD54" i="6"/>
  <c r="AJ54" i="6"/>
  <c r="AC54" i="6"/>
  <c r="U51" i="12"/>
  <c r="T51" i="12"/>
  <c r="V51" i="12"/>
  <c r="AI54" i="6"/>
  <c r="AK54" i="6"/>
  <c r="M55" i="6"/>
  <c r="AH55" i="6" s="1"/>
  <c r="A57" i="6" l="1"/>
  <c r="M57" i="6" s="1"/>
  <c r="AM57" i="6" s="1"/>
  <c r="N56" i="6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C54" i="6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AM55" i="5"/>
  <c r="I55" i="12"/>
  <c r="L55" i="5"/>
  <c r="Z55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N57" i="6" l="1"/>
  <c r="AR57" i="6"/>
  <c r="AO57" i="6"/>
  <c r="AE57" i="6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L56" i="5"/>
  <c r="I56" i="12"/>
  <c r="AM56" i="5"/>
  <c r="Z56" i="5"/>
  <c r="C55" i="12"/>
  <c r="AO55" i="12"/>
  <c r="M55" i="12"/>
  <c r="O55" i="12"/>
  <c r="T52" i="12"/>
  <c r="U52" i="12"/>
  <c r="V52" i="12"/>
  <c r="C61" i="7"/>
  <c r="B60" i="7"/>
  <c r="J59" i="12"/>
  <c r="L59" i="12"/>
  <c r="AH57" i="6"/>
  <c r="AD57" i="6"/>
  <c r="BC57" i="6"/>
  <c r="AZ57" i="6"/>
  <c r="BG57" i="6"/>
  <c r="AS57" i="6"/>
  <c r="G57" i="12"/>
  <c r="X57" i="5"/>
  <c r="N54" i="12"/>
  <c r="AA55" i="5"/>
  <c r="AB55" i="5"/>
  <c r="C55" i="6"/>
  <c r="O55" i="5"/>
  <c r="H58" i="6"/>
  <c r="T58" i="5" s="1"/>
  <c r="K58" i="12"/>
  <c r="C61" i="5"/>
  <c r="AE60" i="5"/>
  <c r="N60" i="5"/>
  <c r="B60" i="5"/>
  <c r="B60" i="6"/>
  <c r="J60" i="5"/>
  <c r="K60" i="5"/>
  <c r="A60" i="12"/>
  <c r="W60" i="5"/>
  <c r="H60" i="12" s="1"/>
  <c r="AD60" i="5"/>
  <c r="F60" i="5"/>
  <c r="E60" i="5"/>
  <c r="D60" i="5"/>
  <c r="B60" i="12" s="1"/>
  <c r="G60" i="5"/>
  <c r="H60" i="5"/>
  <c r="D59" i="6"/>
  <c r="A58" i="6"/>
  <c r="N58" i="6" s="1"/>
  <c r="W54" i="12" l="1"/>
  <c r="V54" i="12" s="1"/>
  <c r="N55" i="12"/>
  <c r="L60" i="12"/>
  <c r="J60" i="12"/>
  <c r="M58" i="6"/>
  <c r="AM57" i="5"/>
  <c r="I57" i="12"/>
  <c r="L57" i="5"/>
  <c r="Z57" i="5"/>
  <c r="C62" i="7"/>
  <c r="B61" i="7"/>
  <c r="Y55" i="12"/>
  <c r="AB56" i="5"/>
  <c r="AA56" i="5"/>
  <c r="C56" i="12"/>
  <c r="M56" i="12"/>
  <c r="O56" i="12"/>
  <c r="AO56" i="12"/>
  <c r="H59" i="6"/>
  <c r="T59" i="5" s="1"/>
  <c r="A59" i="6"/>
  <c r="M59" i="6" s="1"/>
  <c r="D60" i="6"/>
  <c r="D61" i="5"/>
  <c r="B61" i="12" s="1"/>
  <c r="AD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X58" i="5"/>
  <c r="E55" i="6"/>
  <c r="D55" i="12"/>
  <c r="K59" i="12"/>
  <c r="C56" i="6"/>
  <c r="O56" i="5"/>
  <c r="T54" i="12" l="1"/>
  <c r="U54" i="12"/>
  <c r="Y56" i="12"/>
  <c r="X56" i="12" s="1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D56" i="12"/>
  <c r="E56" i="6"/>
  <c r="L58" i="5"/>
  <c r="I58" i="12"/>
  <c r="AM58" i="5"/>
  <c r="Z58" i="5"/>
  <c r="A62" i="12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A60" i="6"/>
  <c r="N60" i="6" s="1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AK59" i="6"/>
  <c r="AD59" i="6"/>
  <c r="AF59" i="6"/>
  <c r="AJ59" i="6"/>
  <c r="AI59" i="6"/>
  <c r="AG59" i="6"/>
  <c r="N59" i="6"/>
  <c r="N56" i="12"/>
  <c r="W55" i="12"/>
  <c r="X55" i="12"/>
  <c r="C63" i="7"/>
  <c r="B62" i="7"/>
  <c r="AA57" i="5"/>
  <c r="AB57" i="5"/>
  <c r="C57" i="6"/>
  <c r="O57" i="5"/>
  <c r="K60" i="12"/>
  <c r="W56" i="12" l="1"/>
  <c r="U56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D62" i="6"/>
  <c r="L62" i="12"/>
  <c r="J62" i="12"/>
  <c r="AA58" i="5"/>
  <c r="AB58" i="5"/>
  <c r="C58" i="6"/>
  <c r="O58" i="5"/>
  <c r="E57" i="6"/>
  <c r="D57" i="12"/>
  <c r="A61" i="6"/>
  <c r="M61" i="6" s="1"/>
  <c r="N57" i="12"/>
  <c r="I59" i="12"/>
  <c r="AM59" i="5"/>
  <c r="L59" i="5"/>
  <c r="Z59" i="5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K63" i="5"/>
  <c r="C64" i="5"/>
  <c r="G63" i="5"/>
  <c r="D63" i="5"/>
  <c r="B63" i="12" s="1"/>
  <c r="AD63" i="5"/>
  <c r="AE63" i="5"/>
  <c r="C58" i="12"/>
  <c r="AO58" i="12"/>
  <c r="M58" i="12"/>
  <c r="O58" i="12"/>
  <c r="V56" i="12" l="1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62" i="6"/>
  <c r="N62" i="6" s="1"/>
  <c r="H62" i="6"/>
  <c r="T62" i="5" s="1"/>
  <c r="V57" i="12"/>
  <c r="U57" i="12"/>
  <c r="T57" i="12"/>
  <c r="N61" i="6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K64" i="5"/>
  <c r="B64" i="6"/>
  <c r="H64" i="5"/>
  <c r="G64" i="5"/>
  <c r="AD64" i="5"/>
  <c r="J63" i="12"/>
  <c r="L63" i="12"/>
  <c r="AB59" i="5"/>
  <c r="AA59" i="5"/>
  <c r="C59" i="6"/>
  <c r="O59" i="5"/>
  <c r="C59" i="12"/>
  <c r="M59" i="12"/>
  <c r="O59" i="12"/>
  <c r="AO59" i="12"/>
  <c r="E58" i="6"/>
  <c r="D58" i="12"/>
  <c r="K62" i="12"/>
  <c r="AE61" i="6"/>
  <c r="AB61" i="6"/>
  <c r="AK61" i="6"/>
  <c r="AH61" i="6"/>
  <c r="M62" i="6" l="1"/>
  <c r="AZ62" i="6" s="1"/>
  <c r="N59" i="12"/>
  <c r="A63" i="6"/>
  <c r="N63" i="6" s="1"/>
  <c r="K63" i="12"/>
  <c r="H65" i="5"/>
  <c r="AD65" i="5"/>
  <c r="J65" i="5"/>
  <c r="F65" i="5"/>
  <c r="D65" i="5"/>
  <c r="B65" i="12" s="1"/>
  <c r="B65" i="5"/>
  <c r="N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A60" i="5"/>
  <c r="AB60" i="5"/>
  <c r="C60" i="12"/>
  <c r="AO60" i="12"/>
  <c r="M60" i="12"/>
  <c r="O60" i="12"/>
  <c r="H63" i="6"/>
  <c r="T63" i="5" s="1"/>
  <c r="Y59" i="12"/>
  <c r="D59" i="12"/>
  <c r="E59" i="6"/>
  <c r="X58" i="12"/>
  <c r="W58" i="12"/>
  <c r="I61" i="12"/>
  <c r="AM61" i="5"/>
  <c r="L61" i="5"/>
  <c r="Z61" i="5"/>
  <c r="C60" i="6"/>
  <c r="O60" i="5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D60" i="12"/>
  <c r="E60" i="6"/>
  <c r="C61" i="6"/>
  <c r="O61" i="5"/>
  <c r="C61" i="12"/>
  <c r="O61" i="12"/>
  <c r="AO61" i="12"/>
  <c r="M61" i="12"/>
  <c r="N60" i="12"/>
  <c r="Y60" i="12"/>
  <c r="H64" i="6"/>
  <c r="T64" i="5" s="1"/>
  <c r="L65" i="12"/>
  <c r="J65" i="12"/>
  <c r="A64" i="6"/>
  <c r="M64" i="6" s="1"/>
  <c r="BA63" i="6" l="1"/>
  <c r="BF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E61" i="6"/>
  <c r="D61" i="12"/>
  <c r="H65" i="6"/>
  <c r="T65" i="5" s="1"/>
  <c r="A65" i="6"/>
  <c r="N65" i="6" s="1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AB62" i="5"/>
  <c r="AA62" i="5"/>
  <c r="C62" i="6"/>
  <c r="O62" i="5"/>
  <c r="V59" i="12"/>
  <c r="T59" i="12"/>
  <c r="U59" i="12"/>
  <c r="K65" i="12"/>
  <c r="AH64" i="6"/>
  <c r="AE64" i="6"/>
  <c r="AI64" i="6"/>
  <c r="AD64" i="6"/>
  <c r="AF64" i="6"/>
  <c r="N64" i="6"/>
  <c r="Y61" i="12"/>
  <c r="D66" i="6"/>
  <c r="C62" i="12"/>
  <c r="O62" i="12"/>
  <c r="AO62" i="12"/>
  <c r="M62" i="12"/>
  <c r="AM63" i="5"/>
  <c r="I63" i="12"/>
  <c r="L63" i="5"/>
  <c r="Z63" i="5"/>
  <c r="A66" i="6" l="1"/>
  <c r="N66" i="6" s="1"/>
  <c r="Y62" i="12"/>
  <c r="W62" i="12" s="1"/>
  <c r="M65" i="6"/>
  <c r="AD65" i="6" s="1"/>
  <c r="C63" i="6"/>
  <c r="O63" i="5"/>
  <c r="H66" i="6"/>
  <c r="T66" i="5" s="1"/>
  <c r="G66" i="12" s="1"/>
  <c r="D62" i="12"/>
  <c r="E62" i="6"/>
  <c r="L67" i="12"/>
  <c r="J67" i="12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I64" i="12"/>
  <c r="AM64" i="5"/>
  <c r="L64" i="5"/>
  <c r="Z64" i="5"/>
  <c r="X62" i="12" l="1"/>
  <c r="M66" i="6"/>
  <c r="AZ66" i="6" s="1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N63" i="12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D68" i="6"/>
  <c r="N69" i="5"/>
  <c r="A69" i="12"/>
  <c r="B69" i="5"/>
  <c r="C70" i="5" s="1"/>
  <c r="D69" i="5"/>
  <c r="B69" i="12" s="1"/>
  <c r="G69" i="5"/>
  <c r="F69" i="5"/>
  <c r="AD69" i="5"/>
  <c r="H69" i="5"/>
  <c r="AE69" i="5"/>
  <c r="W69" i="5"/>
  <c r="H69" i="12" s="1"/>
  <c r="B69" i="6"/>
  <c r="J69" i="5"/>
  <c r="K69" i="5"/>
  <c r="E69" i="5"/>
  <c r="A67" i="6"/>
  <c r="M67" i="6" s="1"/>
  <c r="AG66" i="6" l="1"/>
  <c r="AP66" i="6"/>
  <c r="AV66" i="6"/>
  <c r="AR66" i="6"/>
  <c r="AJ66" i="6"/>
  <c r="BG66" i="6"/>
  <c r="AN66" i="6"/>
  <c r="AK66" i="6"/>
  <c r="AB66" i="6"/>
  <c r="AU66" i="6"/>
  <c r="AM66" i="6"/>
  <c r="AS66" i="6"/>
  <c r="AH66" i="6"/>
  <c r="BD66" i="6"/>
  <c r="BC66" i="6"/>
  <c r="AE66" i="6"/>
  <c r="AF66" i="6"/>
  <c r="BF66" i="6"/>
  <c r="AD66" i="6"/>
  <c r="AI66" i="6"/>
  <c r="BE66" i="6"/>
  <c r="AT66" i="6"/>
  <c r="AX66" i="6"/>
  <c r="AC66" i="6"/>
  <c r="AQ66" i="6"/>
  <c r="BB66" i="6"/>
  <c r="AO66" i="6"/>
  <c r="AY66" i="6"/>
  <c r="BA66" i="6"/>
  <c r="X63" i="12"/>
  <c r="K68" i="12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D69" i="6"/>
  <c r="H68" i="6"/>
  <c r="T68" i="5" s="1"/>
  <c r="AA65" i="5"/>
  <c r="AB65" i="5"/>
  <c r="C65" i="6"/>
  <c r="O65" i="5"/>
  <c r="A68" i="6"/>
  <c r="M68" i="6" s="1"/>
  <c r="N67" i="6"/>
  <c r="G67" i="12"/>
  <c r="X67" i="5"/>
  <c r="U63" i="12"/>
  <c r="T63" i="12"/>
  <c r="V63" i="12"/>
  <c r="E70" i="5"/>
  <c r="AE70" i="5"/>
  <c r="AD70" i="5"/>
  <c r="N70" i="5"/>
  <c r="B70" i="6"/>
  <c r="H70" i="5"/>
  <c r="W70" i="5"/>
  <c r="H70" i="12" s="1"/>
  <c r="G70" i="5"/>
  <c r="F70" i="5"/>
  <c r="C71" i="5"/>
  <c r="B70" i="5"/>
  <c r="A70" i="12"/>
  <c r="L69" i="12"/>
  <c r="J69" i="12"/>
  <c r="C65" i="12"/>
  <c r="M65" i="12"/>
  <c r="AO65" i="12"/>
  <c r="O65" i="12"/>
  <c r="Y64" i="12"/>
  <c r="D64" i="12"/>
  <c r="E64" i="6"/>
  <c r="AI67" i="6"/>
  <c r="AD67" i="6"/>
  <c r="AC67" i="6"/>
  <c r="AJ67" i="6"/>
  <c r="AK67" i="6"/>
  <c r="N65" i="12" l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E71" i="5"/>
  <c r="A71" i="12"/>
  <c r="F71" i="5"/>
  <c r="H71" i="5"/>
  <c r="W71" i="5"/>
  <c r="H71" i="12" s="1"/>
  <c r="J71" i="5"/>
  <c r="AD71" i="5"/>
  <c r="B71" i="6"/>
  <c r="G71" i="5"/>
  <c r="C72" i="5"/>
  <c r="AE71" i="5"/>
  <c r="B71" i="5"/>
  <c r="D71" i="5"/>
  <c r="B71" i="12" s="1"/>
  <c r="N71" i="5"/>
  <c r="K71" i="5"/>
  <c r="E70" i="12"/>
  <c r="F70" i="6"/>
  <c r="N68" i="6"/>
  <c r="G68" i="12"/>
  <c r="X68" i="5"/>
  <c r="W64" i="12"/>
  <c r="X64" i="12"/>
  <c r="Y65" i="12"/>
  <c r="D70" i="6"/>
  <c r="A69" i="6"/>
  <c r="N69" i="6" s="1"/>
  <c r="L67" i="5"/>
  <c r="AM67" i="5"/>
  <c r="I67" i="12"/>
  <c r="Z67" i="5"/>
  <c r="D65" i="12"/>
  <c r="E65" i="6"/>
  <c r="AH68" i="6"/>
  <c r="AB68" i="6"/>
  <c r="AD68" i="6"/>
  <c r="AJ68" i="6"/>
  <c r="AI68" i="6"/>
  <c r="H69" i="6"/>
  <c r="T69" i="5" s="1"/>
  <c r="A70" i="6" l="1"/>
  <c r="M70" i="6" s="1"/>
  <c r="BE70" i="6" s="1"/>
  <c r="G69" i="12"/>
  <c r="X69" i="5"/>
  <c r="AA67" i="5"/>
  <c r="AB67" i="5"/>
  <c r="L68" i="5"/>
  <c r="I68" i="12"/>
  <c r="AM68" i="5"/>
  <c r="Z68" i="5"/>
  <c r="D71" i="6"/>
  <c r="L71" i="12"/>
  <c r="J71" i="12"/>
  <c r="M69" i="6"/>
  <c r="C67" i="12"/>
  <c r="O67" i="12"/>
  <c r="M67" i="12"/>
  <c r="AO67" i="12"/>
  <c r="C67" i="6"/>
  <c r="O67" i="5"/>
  <c r="H70" i="6"/>
  <c r="T70" i="5" s="1"/>
  <c r="G70" i="6"/>
  <c r="W65" i="12"/>
  <c r="X65" i="12"/>
  <c r="V64" i="12"/>
  <c r="T64" i="12"/>
  <c r="U64" i="12"/>
  <c r="F72" i="5"/>
  <c r="G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Y67" i="12" l="1"/>
  <c r="X67" i="12" s="1"/>
  <c r="N70" i="6"/>
  <c r="A71" i="6"/>
  <c r="M71" i="6" s="1"/>
  <c r="AV71" i="6" s="1"/>
  <c r="N67" i="12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G73" i="5"/>
  <c r="N73" i="5"/>
  <c r="F73" i="5"/>
  <c r="K73" i="5"/>
  <c r="L72" i="12"/>
  <c r="J72" i="12"/>
  <c r="E67" i="6"/>
  <c r="D67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AB68" i="5"/>
  <c r="AA68" i="5"/>
  <c r="C68" i="6"/>
  <c r="O68" i="5"/>
  <c r="AG69" i="6"/>
  <c r="AM69" i="5"/>
  <c r="I69" i="12"/>
  <c r="L69" i="5"/>
  <c r="Z69" i="5"/>
  <c r="D72" i="6"/>
  <c r="U65" i="12"/>
  <c r="T65" i="12"/>
  <c r="V65" i="12"/>
  <c r="AF70" i="6"/>
  <c r="AS70" i="6"/>
  <c r="BF70" i="6"/>
  <c r="AI70" i="6"/>
  <c r="AQ70" i="6"/>
  <c r="G70" i="12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72" i="6" l="1"/>
  <c r="M72" i="6" s="1"/>
  <c r="BA72" i="6" s="1"/>
  <c r="W67" i="12"/>
  <c r="V67" i="12" s="1"/>
  <c r="N71" i="6"/>
  <c r="AQ71" i="6"/>
  <c r="AP71" i="6"/>
  <c r="AC71" i="6"/>
  <c r="BF71" i="6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O69" i="5"/>
  <c r="E68" i="6"/>
  <c r="D68" i="12"/>
  <c r="J73" i="12"/>
  <c r="L73" i="12"/>
  <c r="N68" i="12"/>
  <c r="H72" i="6"/>
  <c r="T72" i="5" s="1"/>
  <c r="AB69" i="5"/>
  <c r="AA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T67" i="12" l="1"/>
  <c r="U67" i="12"/>
  <c r="A73" i="6"/>
  <c r="M73" i="6" s="1"/>
  <c r="BC73" i="6" s="1"/>
  <c r="N72" i="6"/>
  <c r="N69" i="12"/>
  <c r="K73" i="12"/>
  <c r="W68" i="12"/>
  <c r="U68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D69" i="12"/>
  <c r="E69" i="6"/>
  <c r="H73" i="6"/>
  <c r="T73" i="5" s="1"/>
  <c r="I71" i="12"/>
  <c r="AM71" i="5"/>
  <c r="L71" i="5"/>
  <c r="Z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D74" i="6"/>
  <c r="N75" i="5"/>
  <c r="D75" i="5"/>
  <c r="B75" i="12" s="1"/>
  <c r="G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T68" i="12" l="1"/>
  <c r="N73" i="6"/>
  <c r="A74" i="6"/>
  <c r="M74" i="6" s="1"/>
  <c r="AS74" i="6" s="1"/>
  <c r="V68" i="12"/>
  <c r="AX73" i="6"/>
  <c r="BF73" i="6"/>
  <c r="AQ73" i="6"/>
  <c r="BA73" i="6"/>
  <c r="BG73" i="6"/>
  <c r="AC73" i="6"/>
  <c r="AJ73" i="6"/>
  <c r="AT73" i="6"/>
  <c r="AF73" i="6"/>
  <c r="AP73" i="6"/>
  <c r="AG73" i="6"/>
  <c r="AY73" i="6"/>
  <c r="AZ73" i="6"/>
  <c r="BD73" i="6"/>
  <c r="AB73" i="6"/>
  <c r="AS73" i="6"/>
  <c r="BE73" i="6"/>
  <c r="H76" i="5"/>
  <c r="B76" i="5"/>
  <c r="B76" i="6"/>
  <c r="G76" i="5"/>
  <c r="J76" i="5"/>
  <c r="D76" i="5"/>
  <c r="B76" i="12" s="1"/>
  <c r="N76" i="5"/>
  <c r="A76" i="12"/>
  <c r="C77" i="5"/>
  <c r="E76" i="5"/>
  <c r="AE76" i="5"/>
  <c r="K76" i="5"/>
  <c r="AD76" i="5"/>
  <c r="F76" i="5"/>
  <c r="W76" i="5"/>
  <c r="H76" i="12" s="1"/>
  <c r="X69" i="12"/>
  <c r="W69" i="12"/>
  <c r="C71" i="6"/>
  <c r="C71" i="12"/>
  <c r="M71" i="12"/>
  <c r="AO71" i="12"/>
  <c r="O71" i="12"/>
  <c r="G73" i="12"/>
  <c r="X73" i="5"/>
  <c r="L75" i="12"/>
  <c r="J75" i="12"/>
  <c r="D75" i="6"/>
  <c r="H74" i="6"/>
  <c r="T74" i="5" s="1"/>
  <c r="G74" i="12" s="1"/>
  <c r="AM72" i="5"/>
  <c r="I72" i="12"/>
  <c r="L72" i="5"/>
  <c r="Z72" i="5"/>
  <c r="AB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N74" i="6" l="1"/>
  <c r="BD74" i="6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K74" i="6"/>
  <c r="AJ74" i="6"/>
  <c r="AB72" i="5"/>
  <c r="C72" i="6"/>
  <c r="I73" i="12"/>
  <c r="L73" i="5"/>
  <c r="AM73" i="5"/>
  <c r="Z73" i="5"/>
  <c r="V69" i="12"/>
  <c r="T69" i="12"/>
  <c r="U69" i="12"/>
  <c r="J76" i="12"/>
  <c r="L76" i="12"/>
  <c r="C72" i="12"/>
  <c r="O72" i="12"/>
  <c r="M72" i="12"/>
  <c r="AO72" i="12"/>
  <c r="AD74" i="6"/>
  <c r="AB74" i="6"/>
  <c r="AF74" i="6"/>
  <c r="AG74" i="6"/>
  <c r="H75" i="6"/>
  <c r="T75" i="5" s="1"/>
  <c r="K75" i="12"/>
  <c r="Y71" i="12"/>
  <c r="A77" i="12"/>
  <c r="H77" i="5"/>
  <c r="J77" i="5"/>
  <c r="C78" i="5"/>
  <c r="K77" i="5"/>
  <c r="B77" i="5"/>
  <c r="N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Y72" i="12" l="1"/>
  <c r="W72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H76" i="6"/>
  <c r="T76" i="5" s="1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B73" i="5"/>
  <c r="C73" i="12"/>
  <c r="AO73" i="12"/>
  <c r="M73" i="12"/>
  <c r="O73" i="12"/>
  <c r="D77" i="6"/>
  <c r="L77" i="12"/>
  <c r="J77" i="12"/>
  <c r="AJ75" i="6"/>
  <c r="AD75" i="6"/>
  <c r="AB75" i="6"/>
  <c r="AC75" i="6"/>
  <c r="N75" i="6"/>
  <c r="C73" i="6"/>
  <c r="X72" i="12" l="1"/>
  <c r="N73" i="12"/>
  <c r="A77" i="6"/>
  <c r="M77" i="6" s="1"/>
  <c r="K77" i="12"/>
  <c r="H77" i="6"/>
  <c r="T77" i="5" s="1"/>
  <c r="Y73" i="12"/>
  <c r="V72" i="12"/>
  <c r="U72" i="12"/>
  <c r="T72" i="12"/>
  <c r="B79" i="6"/>
  <c r="E79" i="5"/>
  <c r="F79" i="5"/>
  <c r="D79" i="5"/>
  <c r="B79" i="12" s="1"/>
  <c r="J79" i="5"/>
  <c r="H79" i="5"/>
  <c r="N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M76" i="6"/>
  <c r="AJ76" i="6" s="1"/>
  <c r="N76" i="6"/>
  <c r="L75" i="5"/>
  <c r="I75" i="12"/>
  <c r="AM75" i="5"/>
  <c r="Z75" i="5"/>
  <c r="U71" i="12"/>
  <c r="T71" i="12"/>
  <c r="V71" i="12"/>
  <c r="G76" i="12"/>
  <c r="X76" i="5"/>
  <c r="N77" i="6" l="1"/>
  <c r="AB76" i="6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B80" i="6"/>
  <c r="K80" i="5"/>
  <c r="G80" i="5"/>
  <c r="F80" i="5"/>
  <c r="N80" i="5"/>
  <c r="C81" i="5"/>
  <c r="J80" i="5"/>
  <c r="B80" i="5"/>
  <c r="AD80" i="5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B75" i="5"/>
  <c r="C75" i="6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N78" i="6" l="1"/>
  <c r="AY78" i="6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79" i="6"/>
  <c r="M79" i="6" s="1"/>
  <c r="G78" i="12"/>
  <c r="X78" i="5"/>
  <c r="AC78" i="6"/>
  <c r="AI78" i="6"/>
  <c r="AJ78" i="6"/>
  <c r="AB76" i="5"/>
  <c r="C76" i="6"/>
  <c r="A81" i="12"/>
  <c r="B81" i="6"/>
  <c r="E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L80" i="12"/>
  <c r="J80" i="12"/>
  <c r="Y75" i="12"/>
  <c r="N76" i="12" l="1"/>
  <c r="N79" i="6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G82" i="5"/>
  <c r="AE82" i="5"/>
  <c r="C77" i="12"/>
  <c r="O77" i="12"/>
  <c r="AO77" i="12"/>
  <c r="M77" i="12"/>
  <c r="G79" i="12"/>
  <c r="X79" i="5"/>
  <c r="AE79" i="6"/>
  <c r="AH79" i="6"/>
  <c r="AD79" i="6"/>
  <c r="K80" i="12"/>
  <c r="J81" i="12"/>
  <c r="L81" i="12"/>
  <c r="L78" i="5"/>
  <c r="AM78" i="5"/>
  <c r="I78" i="12"/>
  <c r="Z78" i="5"/>
  <c r="AB77" i="5"/>
  <c r="C77" i="6"/>
  <c r="A80" i="6"/>
  <c r="M80" i="6" s="1"/>
  <c r="AX80" i="6" s="1"/>
  <c r="H80" i="6"/>
  <c r="T80" i="5" s="1"/>
  <c r="Y76" i="12"/>
  <c r="AG79" i="6"/>
  <c r="AK79" i="6"/>
  <c r="AF79" i="6"/>
  <c r="AC79" i="6"/>
  <c r="AB79" i="6"/>
  <c r="AI79" i="6"/>
  <c r="N80" i="6" l="1"/>
  <c r="K81" i="12"/>
  <c r="BC80" i="6"/>
  <c r="BB80" i="6"/>
  <c r="AH80" i="6"/>
  <c r="BE80" i="6"/>
  <c r="A81" i="6"/>
  <c r="N81" i="6" s="1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C78" i="12"/>
  <c r="AO78" i="12"/>
  <c r="M78" i="12"/>
  <c r="O78" i="12"/>
  <c r="C78" i="6"/>
  <c r="AM79" i="5"/>
  <c r="I79" i="12"/>
  <c r="L79" i="5"/>
  <c r="Z79" i="5"/>
  <c r="N77" i="12"/>
  <c r="D82" i="6"/>
  <c r="L82" i="12"/>
  <c r="J82" i="12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F83" i="5"/>
  <c r="C84" i="5"/>
  <c r="T75" i="12"/>
  <c r="V75" i="12"/>
  <c r="U75" i="12"/>
  <c r="M81" i="6" l="1"/>
  <c r="AF81" i="6" s="1"/>
  <c r="N78" i="12"/>
  <c r="J84" i="5"/>
  <c r="W84" i="5"/>
  <c r="H84" i="12" s="1"/>
  <c r="G84" i="5"/>
  <c r="F84" i="5"/>
  <c r="A84" i="12"/>
  <c r="K84" i="5"/>
  <c r="H84" i="5"/>
  <c r="B84" i="6"/>
  <c r="B84" i="5"/>
  <c r="E84" i="5"/>
  <c r="D84" i="5"/>
  <c r="B84" i="12" s="1"/>
  <c r="AE84" i="5"/>
  <c r="AD84" i="5"/>
  <c r="C85" i="5"/>
  <c r="N84" i="5"/>
  <c r="U76" i="12"/>
  <c r="V76" i="12"/>
  <c r="T76" i="12"/>
  <c r="H82" i="6"/>
  <c r="T82" i="5" s="1"/>
  <c r="A82" i="6"/>
  <c r="N82" i="6" s="1"/>
  <c r="C79" i="12"/>
  <c r="M79" i="12"/>
  <c r="O79" i="12"/>
  <c r="AO79" i="12"/>
  <c r="Y78" i="12"/>
  <c r="AM80" i="5"/>
  <c r="L80" i="5"/>
  <c r="I80" i="12"/>
  <c r="Z80" i="5"/>
  <c r="D83" i="6"/>
  <c r="J83" i="12"/>
  <c r="L83" i="12"/>
  <c r="X77" i="12"/>
  <c r="W77" i="12"/>
  <c r="G81" i="12"/>
  <c r="X81" i="5"/>
  <c r="K82" i="12"/>
  <c r="AB79" i="5"/>
  <c r="C79" i="6"/>
  <c r="BE81" i="6" l="1"/>
  <c r="AS81" i="6"/>
  <c r="AC81" i="6"/>
  <c r="AT81" i="6"/>
  <c r="AB81" i="6"/>
  <c r="BC81" i="6"/>
  <c r="AX81" i="6"/>
  <c r="AO81" i="6"/>
  <c r="AD81" i="6"/>
  <c r="N79" i="12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N83" i="6" s="1"/>
  <c r="H83" i="6"/>
  <c r="T83" i="5" s="1"/>
  <c r="C80" i="6"/>
  <c r="W78" i="12"/>
  <c r="X78" i="12"/>
  <c r="D84" i="6"/>
  <c r="AM81" i="5"/>
  <c r="I81" i="12"/>
  <c r="L81" i="5"/>
  <c r="Z81" i="5"/>
  <c r="V77" i="12"/>
  <c r="T77" i="12"/>
  <c r="U77" i="12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C86" i="5"/>
  <c r="J84" i="12"/>
  <c r="L84" i="12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L85" i="12"/>
  <c r="J85" i="12"/>
  <c r="D85" i="6"/>
  <c r="I82" i="12"/>
  <c r="L82" i="5"/>
  <c r="AM82" i="5"/>
  <c r="Z82" i="5"/>
  <c r="W79" i="12"/>
  <c r="X79" i="12"/>
  <c r="C81" i="12"/>
  <c r="AO81" i="12"/>
  <c r="O81" i="12"/>
  <c r="M81" i="12"/>
  <c r="H84" i="6"/>
  <c r="T84" i="5" s="1"/>
  <c r="G83" i="12"/>
  <c r="X83" i="5"/>
  <c r="N80" i="12"/>
  <c r="Y80" i="12"/>
  <c r="AB81" i="5"/>
  <c r="C81" i="6"/>
  <c r="U78" i="12"/>
  <c r="V78" i="12"/>
  <c r="T78" i="12"/>
  <c r="AD83" i="6" l="1"/>
  <c r="AQ83" i="6"/>
  <c r="AY83" i="6"/>
  <c r="AI83" i="6"/>
  <c r="N84" i="6"/>
  <c r="AC83" i="6"/>
  <c r="AZ83" i="6"/>
  <c r="BA83" i="6"/>
  <c r="AK83" i="6"/>
  <c r="A85" i="6"/>
  <c r="N85" i="6" s="1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AJ84" i="6"/>
  <c r="AI84" i="6"/>
  <c r="N81" i="12"/>
  <c r="X80" i="12"/>
  <c r="W80" i="12"/>
  <c r="U79" i="12"/>
  <c r="T79" i="12"/>
  <c r="V79" i="12"/>
  <c r="AB82" i="5"/>
  <c r="C82" i="12"/>
  <c r="O82" i="12"/>
  <c r="AO82" i="12"/>
  <c r="M82" i="12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K85" i="12"/>
  <c r="M85" i="6" l="1"/>
  <c r="AO85" i="6" s="1"/>
  <c r="A86" i="6"/>
  <c r="N86" i="6" s="1"/>
  <c r="Y82" i="12"/>
  <c r="W82" i="12" s="1"/>
  <c r="W81" i="12"/>
  <c r="X81" i="12"/>
  <c r="C83" i="6"/>
  <c r="O83" i="5"/>
  <c r="H86" i="6"/>
  <c r="T86" i="5" s="1"/>
  <c r="J87" i="12"/>
  <c r="L87" i="12"/>
  <c r="G85" i="12"/>
  <c r="X85" i="5"/>
  <c r="V80" i="12"/>
  <c r="T80" i="12"/>
  <c r="U80" i="12"/>
  <c r="I84" i="12"/>
  <c r="L84" i="5"/>
  <c r="AM84" i="5"/>
  <c r="Z84" i="5"/>
  <c r="AB83" i="5"/>
  <c r="AA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J88" i="5"/>
  <c r="A88" i="12"/>
  <c r="C89" i="5"/>
  <c r="F88" i="5"/>
  <c r="AE88" i="5"/>
  <c r="AD88" i="5"/>
  <c r="N82" i="12"/>
  <c r="AB85" i="6" l="1"/>
  <c r="AG85" i="6"/>
  <c r="BE85" i="6"/>
  <c r="AE85" i="6"/>
  <c r="AJ85" i="6"/>
  <c r="BC85" i="6"/>
  <c r="AH85" i="6"/>
  <c r="AI85" i="6"/>
  <c r="AX85" i="6"/>
  <c r="AR85" i="6"/>
  <c r="AZ85" i="6"/>
  <c r="AK85" i="6"/>
  <c r="BB85" i="6"/>
  <c r="AD85" i="6"/>
  <c r="AV85" i="6"/>
  <c r="AC85" i="6"/>
  <c r="AM85" i="6"/>
  <c r="AS85" i="6"/>
  <c r="AU85" i="6"/>
  <c r="BA85" i="6"/>
  <c r="AY85" i="6"/>
  <c r="AT85" i="6"/>
  <c r="AF85" i="6"/>
  <c r="AQ85" i="6"/>
  <c r="A87" i="6"/>
  <c r="M87" i="6" s="1"/>
  <c r="AV87" i="6" s="1"/>
  <c r="M86" i="6"/>
  <c r="BA86" i="6" s="1"/>
  <c r="AP85" i="6"/>
  <c r="BD85" i="6"/>
  <c r="AN85" i="6"/>
  <c r="BF85" i="6"/>
  <c r="BG85" i="6"/>
  <c r="X82" i="12"/>
  <c r="K87" i="12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G86" i="12"/>
  <c r="X86" i="5"/>
  <c r="D83" i="12"/>
  <c r="E83" i="6"/>
  <c r="J88" i="12"/>
  <c r="L88" i="12"/>
  <c r="H87" i="6"/>
  <c r="T87" i="5" s="1"/>
  <c r="N83" i="12"/>
  <c r="Y83" i="12"/>
  <c r="AB84" i="5"/>
  <c r="AA84" i="5"/>
  <c r="C84" i="6"/>
  <c r="O84" i="5"/>
  <c r="T82" i="12"/>
  <c r="V82" i="12"/>
  <c r="U82" i="12"/>
  <c r="U81" i="12"/>
  <c r="V81" i="12"/>
  <c r="T81" i="12"/>
  <c r="N87" i="6" l="1"/>
  <c r="A88" i="6"/>
  <c r="M88" i="6" s="1"/>
  <c r="AN88" i="6" s="1"/>
  <c r="BC86" i="6"/>
  <c r="AZ86" i="6"/>
  <c r="AJ86" i="6"/>
  <c r="AB86" i="6"/>
  <c r="AC86" i="6"/>
  <c r="AU86" i="6"/>
  <c r="AE86" i="6"/>
  <c r="AH86" i="6"/>
  <c r="AX86" i="6"/>
  <c r="BG86" i="6"/>
  <c r="AG86" i="6"/>
  <c r="BF86" i="6"/>
  <c r="AF86" i="6"/>
  <c r="AT86" i="6"/>
  <c r="BD86" i="6"/>
  <c r="AQ86" i="6"/>
  <c r="AS86" i="6"/>
  <c r="AN86" i="6"/>
  <c r="AY86" i="6"/>
  <c r="BB86" i="6"/>
  <c r="AM86" i="6"/>
  <c r="AD86" i="6"/>
  <c r="BE86" i="6"/>
  <c r="AR86" i="6"/>
  <c r="AK86" i="6"/>
  <c r="AV86" i="6"/>
  <c r="AI86" i="6"/>
  <c r="AO86" i="6"/>
  <c r="AP86" i="6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A85" i="5"/>
  <c r="AB85" i="5"/>
  <c r="C85" i="12"/>
  <c r="O85" i="12"/>
  <c r="AO85" i="12"/>
  <c r="M85" i="12"/>
  <c r="H88" i="6"/>
  <c r="T88" i="5" s="1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C91" i="5"/>
  <c r="K90" i="5"/>
  <c r="G90" i="5"/>
  <c r="AD90" i="5"/>
  <c r="AK87" i="6"/>
  <c r="AF87" i="6"/>
  <c r="AH87" i="6"/>
  <c r="AD87" i="6"/>
  <c r="C85" i="6"/>
  <c r="O85" i="5"/>
  <c r="N84" i="12"/>
  <c r="D89" i="6"/>
  <c r="N88" i="6" l="1"/>
  <c r="AO88" i="6"/>
  <c r="W84" i="12"/>
  <c r="U84" i="12" s="1"/>
  <c r="BF88" i="6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AE91" i="5"/>
  <c r="H91" i="5"/>
  <c r="AD91" i="5"/>
  <c r="B91" i="5"/>
  <c r="L90" i="12"/>
  <c r="J90" i="12"/>
  <c r="N85" i="12"/>
  <c r="C86" i="12"/>
  <c r="AO86" i="12"/>
  <c r="M86" i="12"/>
  <c r="O86" i="12"/>
  <c r="I87" i="12"/>
  <c r="L87" i="5"/>
  <c r="AM87" i="5"/>
  <c r="Z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V84" i="12" l="1"/>
  <c r="T84" i="12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N90" i="6" s="1"/>
  <c r="AA87" i="5"/>
  <c r="AB87" i="5"/>
  <c r="C87" i="12"/>
  <c r="AO87" i="12"/>
  <c r="O87" i="12"/>
  <c r="M87" i="12"/>
  <c r="D91" i="6"/>
  <c r="N89" i="6"/>
  <c r="AM88" i="5"/>
  <c r="I88" i="12"/>
  <c r="L88" i="5"/>
  <c r="Z88" i="5"/>
  <c r="H90" i="6"/>
  <c r="T90" i="5" s="1"/>
  <c r="C87" i="6"/>
  <c r="O87" i="5"/>
  <c r="N86" i="12"/>
  <c r="Y86" i="12"/>
  <c r="K90" i="12"/>
  <c r="C93" i="5"/>
  <c r="J92" i="5"/>
  <c r="H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M90" i="6" l="1"/>
  <c r="AT90" i="6" s="1"/>
  <c r="N87" i="12"/>
  <c r="K91" i="12"/>
  <c r="D92" i="6"/>
  <c r="G90" i="12"/>
  <c r="X90" i="5"/>
  <c r="AB88" i="5"/>
  <c r="AA88" i="5"/>
  <c r="C88" i="6"/>
  <c r="O88" i="5"/>
  <c r="H91" i="6"/>
  <c r="T91" i="5" s="1"/>
  <c r="A91" i="6"/>
  <c r="N91" i="6" s="1"/>
  <c r="U85" i="12"/>
  <c r="V85" i="12"/>
  <c r="T85" i="12"/>
  <c r="I89" i="12"/>
  <c r="L89" i="5"/>
  <c r="AM89" i="5"/>
  <c r="Z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M91" i="6"/>
  <c r="BE91" i="6" s="1"/>
  <c r="K92" i="12"/>
  <c r="V86" i="12"/>
  <c r="T86" i="12"/>
  <c r="U86" i="12"/>
  <c r="L93" i="12"/>
  <c r="J93" i="12"/>
  <c r="C89" i="6"/>
  <c r="O89" i="5"/>
  <c r="D88" i="12"/>
  <c r="E88" i="6"/>
  <c r="I90" i="12"/>
  <c r="AM90" i="5"/>
  <c r="L90" i="5"/>
  <c r="Z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N89" i="12" l="1"/>
  <c r="N92" i="6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Y89" i="12"/>
  <c r="L94" i="12"/>
  <c r="J94" i="12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J95" i="5"/>
  <c r="B95" i="5"/>
  <c r="B95" i="6"/>
  <c r="X88" i="12"/>
  <c r="W88" i="12"/>
  <c r="C90" i="6"/>
  <c r="O90" i="5"/>
  <c r="C90" i="12"/>
  <c r="AO90" i="12"/>
  <c r="M90" i="12"/>
  <c r="O90" i="12"/>
  <c r="N93" i="6" l="1"/>
  <c r="A94" i="6"/>
  <c r="M94" i="6" s="1"/>
  <c r="AX94" i="6" s="1"/>
  <c r="BD93" i="6"/>
  <c r="AY93" i="6"/>
  <c r="AR93" i="6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D95" i="6"/>
  <c r="J95" i="12"/>
  <c r="L95" i="12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N94" i="6" l="1"/>
  <c r="Y91" i="12"/>
  <c r="W91" i="12" s="1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L96" i="12"/>
  <c r="J96" i="12"/>
  <c r="G97" i="5"/>
  <c r="F97" i="5"/>
  <c r="A97" i="12"/>
  <c r="AE97" i="5"/>
  <c r="J97" i="5"/>
  <c r="AD97" i="5"/>
  <c r="N97" i="5"/>
  <c r="D97" i="5"/>
  <c r="B97" i="12" s="1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95" i="6"/>
  <c r="N95" i="6" s="1"/>
  <c r="C92" i="6"/>
  <c r="O92" i="5"/>
  <c r="W90" i="12"/>
  <c r="X90" i="12"/>
  <c r="X91" i="12" l="1"/>
  <c r="A96" i="6"/>
  <c r="M96" i="6" s="1"/>
  <c r="N92" i="12"/>
  <c r="T90" i="12"/>
  <c r="U90" i="12"/>
  <c r="V90" i="12"/>
  <c r="C93" i="12"/>
  <c r="O93" i="12"/>
  <c r="AO93" i="12"/>
  <c r="M93" i="12"/>
  <c r="C93" i="6"/>
  <c r="O93" i="5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G95" i="12"/>
  <c r="X95" i="5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B98" i="6"/>
  <c r="D98" i="5"/>
  <c r="B98" i="12" s="1"/>
  <c r="AD98" i="5"/>
  <c r="E98" i="5"/>
  <c r="K98" i="5"/>
  <c r="B98" i="5"/>
  <c r="J98" i="5"/>
  <c r="A98" i="12"/>
  <c r="K96" i="12"/>
  <c r="A97" i="6" l="1"/>
  <c r="M97" i="6" s="1"/>
  <c r="AT97" i="6" s="1"/>
  <c r="N96" i="6"/>
  <c r="AS96" i="6"/>
  <c r="AP96" i="6"/>
  <c r="AU96" i="6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AE99" i="5"/>
  <c r="F99" i="5"/>
  <c r="B99" i="5"/>
  <c r="G99" i="5"/>
  <c r="C94" i="6"/>
  <c r="O94" i="5"/>
  <c r="C94" i="12"/>
  <c r="O94" i="12"/>
  <c r="M94" i="12"/>
  <c r="AO94" i="12"/>
  <c r="L98" i="12"/>
  <c r="J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A94" i="5"/>
  <c r="AB94" i="5"/>
  <c r="K97" i="12"/>
  <c r="H97" i="6"/>
  <c r="T97" i="5" s="1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W93" i="12" l="1"/>
  <c r="V93" i="12" s="1"/>
  <c r="N97" i="6"/>
  <c r="Y94" i="12"/>
  <c r="W94" i="12" s="1"/>
  <c r="AC97" i="6"/>
  <c r="BC97" i="6"/>
  <c r="AB97" i="6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C95" i="12"/>
  <c r="M95" i="12"/>
  <c r="O95" i="12"/>
  <c r="AO95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AA95" i="5"/>
  <c r="C95" i="6"/>
  <c r="O95" i="5"/>
  <c r="T92" i="12"/>
  <c r="V92" i="12"/>
  <c r="U92" i="12"/>
  <c r="H98" i="6"/>
  <c r="T98" i="5" s="1"/>
  <c r="N94" i="12"/>
  <c r="D94" i="12"/>
  <c r="E94" i="6"/>
  <c r="D99" i="6"/>
  <c r="A98" i="6"/>
  <c r="M98" i="6" s="1"/>
  <c r="T93" i="12" l="1"/>
  <c r="U93" i="12"/>
  <c r="X94" i="12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E95" i="6"/>
  <c r="D95" i="12"/>
  <c r="AM97" i="5"/>
  <c r="L97" i="5"/>
  <c r="I97" i="12"/>
  <c r="Z97" i="5"/>
  <c r="L100" i="12"/>
  <c r="J100" i="12"/>
  <c r="AA96" i="5"/>
  <c r="AB96" i="5"/>
  <c r="C96" i="6"/>
  <c r="O96" i="5"/>
  <c r="A99" i="6"/>
  <c r="M99" i="6" s="1"/>
  <c r="AM99" i="6" s="1"/>
  <c r="H99" i="6"/>
  <c r="T99" i="5" s="1"/>
  <c r="AF98" i="6"/>
  <c r="AB98" i="6"/>
  <c r="N98" i="6"/>
  <c r="AI98" i="6"/>
  <c r="AK98" i="6"/>
  <c r="AC98" i="6"/>
  <c r="AE98" i="6"/>
  <c r="E101" i="5"/>
  <c r="AE101" i="5"/>
  <c r="W101" i="5"/>
  <c r="H101" i="12" s="1"/>
  <c r="N101" i="5"/>
  <c r="C102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W95" i="12" l="1"/>
  <c r="V95" i="12" s="1"/>
  <c r="A100" i="6"/>
  <c r="M100" i="6" s="1"/>
  <c r="AS100" i="6" s="1"/>
  <c r="N99" i="6"/>
  <c r="BA99" i="6"/>
  <c r="AX99" i="6"/>
  <c r="AY99" i="6"/>
  <c r="BC99" i="6"/>
  <c r="BG99" i="6"/>
  <c r="AS99" i="6"/>
  <c r="AI99" i="6"/>
  <c r="BF99" i="6"/>
  <c r="AQ99" i="6"/>
  <c r="AZ99" i="6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D101" i="6"/>
  <c r="G99" i="12"/>
  <c r="X99" i="5"/>
  <c r="D96" i="12"/>
  <c r="E96" i="6"/>
  <c r="K100" i="12"/>
  <c r="C97" i="12"/>
  <c r="AO97" i="12"/>
  <c r="M97" i="12"/>
  <c r="O97" i="12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B102" i="5"/>
  <c r="AD102" i="5"/>
  <c r="G102" i="5"/>
  <c r="F102" i="5"/>
  <c r="AH99" i="6"/>
  <c r="AF99" i="6"/>
  <c r="AJ99" i="6"/>
  <c r="AE99" i="6"/>
  <c r="AB99" i="6"/>
  <c r="AA97" i="5"/>
  <c r="AB97" i="5"/>
  <c r="C97" i="6"/>
  <c r="O97" i="5"/>
  <c r="L98" i="5"/>
  <c r="I98" i="12"/>
  <c r="AM98" i="5"/>
  <c r="Z98" i="5"/>
  <c r="T95" i="12" l="1"/>
  <c r="A101" i="6"/>
  <c r="N101" i="6" s="1"/>
  <c r="U95" i="12"/>
  <c r="N100" i="6"/>
  <c r="N97" i="12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AA98" i="5"/>
  <c r="C98" i="12"/>
  <c r="AO98" i="12"/>
  <c r="O98" i="12"/>
  <c r="M98" i="12"/>
  <c r="E97" i="6"/>
  <c r="D97" i="12"/>
  <c r="D102" i="6"/>
  <c r="L102" i="12"/>
  <c r="J102" i="12"/>
  <c r="G100" i="12"/>
  <c r="X100" i="5"/>
  <c r="Y97" i="12"/>
  <c r="C98" i="6"/>
  <c r="O98" i="5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H101" i="6"/>
  <c r="T101" i="5" s="1"/>
  <c r="W96" i="12"/>
  <c r="X96" i="12"/>
  <c r="M101" i="6" l="1"/>
  <c r="BC101" i="6" s="1"/>
  <c r="Y98" i="12"/>
  <c r="W98" i="12" s="1"/>
  <c r="V96" i="12"/>
  <c r="T96" i="12"/>
  <c r="U96" i="12"/>
  <c r="AB99" i="5"/>
  <c r="AA99" i="5"/>
  <c r="C99" i="12"/>
  <c r="AO99" i="12"/>
  <c r="O99" i="12"/>
  <c r="M99" i="12"/>
  <c r="I100" i="12"/>
  <c r="L100" i="5"/>
  <c r="AM100" i="5"/>
  <c r="Z100" i="5"/>
  <c r="K102" i="12"/>
  <c r="H102" i="6"/>
  <c r="T102" i="5" s="1"/>
  <c r="G101" i="12"/>
  <c r="X101" i="5"/>
  <c r="C99" i="6"/>
  <c r="O99" i="5"/>
  <c r="AE104" i="5"/>
  <c r="K104" i="5"/>
  <c r="W104" i="5"/>
  <c r="H104" i="12" s="1"/>
  <c r="G104" i="5"/>
  <c r="F104" i="5"/>
  <c r="AD104" i="5"/>
  <c r="N104" i="5"/>
  <c r="A104" i="12"/>
  <c r="B104" i="5"/>
  <c r="C105" i="5" s="1"/>
  <c r="E104" i="5"/>
  <c r="H104" i="5"/>
  <c r="D104" i="5"/>
  <c r="B104" i="12" s="1"/>
  <c r="B104" i="6"/>
  <c r="J104" i="5"/>
  <c r="L103" i="12"/>
  <c r="J103" i="12"/>
  <c r="D103" i="6"/>
  <c r="E98" i="6"/>
  <c r="D98" i="12"/>
  <c r="X97" i="12"/>
  <c r="W97" i="12"/>
  <c r="A102" i="6"/>
  <c r="M102" i="6" s="1"/>
  <c r="N98" i="12"/>
  <c r="BB101" i="6" l="1"/>
  <c r="AK101" i="6"/>
  <c r="AN101" i="6"/>
  <c r="AQ101" i="6"/>
  <c r="AC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S102" i="6"/>
  <c r="BA102" i="6"/>
  <c r="BG102" i="6"/>
  <c r="N102" i="6"/>
  <c r="K103" i="12"/>
  <c r="AK102" i="6"/>
  <c r="N99" i="12"/>
  <c r="U97" i="12"/>
  <c r="T97" i="12"/>
  <c r="V97" i="12"/>
  <c r="H103" i="6"/>
  <c r="T103" i="5" s="1"/>
  <c r="J104" i="12"/>
  <c r="L104" i="12"/>
  <c r="I101" i="12"/>
  <c r="L101" i="5"/>
  <c r="AM101" i="5"/>
  <c r="Z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O100" i="5"/>
  <c r="A103" i="6"/>
  <c r="M103" i="6" s="1"/>
  <c r="D104" i="6"/>
  <c r="C106" i="5"/>
  <c r="F105" i="5"/>
  <c r="A105" i="12"/>
  <c r="AE105" i="5"/>
  <c r="N105" i="5"/>
  <c r="E105" i="5"/>
  <c r="W105" i="5"/>
  <c r="H105" i="12" s="1"/>
  <c r="B105" i="6"/>
  <c r="G105" i="5"/>
  <c r="AD105" i="5"/>
  <c r="H105" i="5"/>
  <c r="B105" i="5"/>
  <c r="E99" i="6"/>
  <c r="D99" i="12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AA100" i="5"/>
  <c r="C100" i="12"/>
  <c r="M100" i="12"/>
  <c r="AO100" i="12"/>
  <c r="O100" i="12"/>
  <c r="Y99" i="12"/>
  <c r="N100" i="12" l="1"/>
  <c r="Y100" i="12"/>
  <c r="X100" i="12" s="1"/>
  <c r="N103" i="6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E100" i="6"/>
  <c r="D100" i="12"/>
  <c r="L102" i="5"/>
  <c r="AM102" i="5"/>
  <c r="I102" i="12"/>
  <c r="Z102" i="5"/>
  <c r="C101" i="6"/>
  <c r="O101" i="5"/>
  <c r="G103" i="12"/>
  <c r="X103" i="5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F106" i="5"/>
  <c r="B106" i="5"/>
  <c r="H104" i="6"/>
  <c r="T104" i="5" s="1"/>
  <c r="AB101" i="5"/>
  <c r="AA101" i="5"/>
  <c r="C101" i="12"/>
  <c r="O101" i="12"/>
  <c r="AO101" i="12"/>
  <c r="M101" i="12"/>
  <c r="K104" i="12"/>
  <c r="AJ103" i="6"/>
  <c r="AF103" i="6"/>
  <c r="AK103" i="6"/>
  <c r="AG103" i="6"/>
  <c r="AC103" i="6"/>
  <c r="AH103" i="6"/>
  <c r="W100" i="12" l="1"/>
  <c r="U100" i="12" s="1"/>
  <c r="N104" i="6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J106" i="12"/>
  <c r="L106" i="12"/>
  <c r="I103" i="12"/>
  <c r="L103" i="5"/>
  <c r="AM103" i="5"/>
  <c r="Z103" i="5"/>
  <c r="E101" i="6"/>
  <c r="D101" i="12"/>
  <c r="AB102" i="5"/>
  <c r="AA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O102" i="5"/>
  <c r="T100" i="12" l="1"/>
  <c r="V100" i="12"/>
  <c r="A106" i="6"/>
  <c r="N105" i="6"/>
  <c r="Y102" i="12"/>
  <c r="W102" i="12" s="1"/>
  <c r="H106" i="6"/>
  <c r="T106" i="5" s="1"/>
  <c r="D107" i="6"/>
  <c r="W101" i="12"/>
  <c r="X101" i="12"/>
  <c r="G105" i="12"/>
  <c r="C103" i="12"/>
  <c r="M103" i="12"/>
  <c r="AO103" i="12"/>
  <c r="O103" i="12"/>
  <c r="D102" i="12"/>
  <c r="E102" i="6"/>
  <c r="N102" i="12"/>
  <c r="AE108" i="5"/>
  <c r="D108" i="5"/>
  <c r="B108" i="12" s="1"/>
  <c r="G108" i="5"/>
  <c r="C109" i="5"/>
  <c r="H108" i="5"/>
  <c r="K108" i="5"/>
  <c r="AD108" i="5"/>
  <c r="F108" i="5"/>
  <c r="J108" i="5"/>
  <c r="W108" i="5"/>
  <c r="H108" i="12" s="1"/>
  <c r="B108" i="5"/>
  <c r="E108" i="5"/>
  <c r="N108" i="5"/>
  <c r="A108" i="12"/>
  <c r="B108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M106" i="6" l="1"/>
  <c r="AU106" i="6" s="1"/>
  <c r="N103" i="12"/>
  <c r="N106" i="6"/>
  <c r="A107" i="6"/>
  <c r="N107" i="6" s="1"/>
  <c r="X102" i="12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U101" i="12"/>
  <c r="V101" i="12"/>
  <c r="T101" i="12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H107" i="6"/>
  <c r="T107" i="5" s="1"/>
  <c r="G106" i="12"/>
  <c r="X106" i="5"/>
  <c r="U102" i="12"/>
  <c r="T102" i="12"/>
  <c r="V102" i="12"/>
  <c r="AF106" i="6" l="1"/>
  <c r="AH106" i="6"/>
  <c r="BC106" i="6"/>
  <c r="AR106" i="6"/>
  <c r="AC106" i="6"/>
  <c r="BA106" i="6"/>
  <c r="AJ106" i="6"/>
  <c r="AS106" i="6"/>
  <c r="AE106" i="6"/>
  <c r="BD106" i="6"/>
  <c r="AN106" i="6"/>
  <c r="AY106" i="6"/>
  <c r="AX106" i="6"/>
  <c r="AT106" i="6"/>
  <c r="AV106" i="6"/>
  <c r="BE106" i="6"/>
  <c r="AD106" i="6"/>
  <c r="AM106" i="6"/>
  <c r="AQ106" i="6"/>
  <c r="AO106" i="6"/>
  <c r="AZ106" i="6"/>
  <c r="BB106" i="6"/>
  <c r="AB106" i="6"/>
  <c r="BF106" i="6"/>
  <c r="BG106" i="6"/>
  <c r="AK106" i="6"/>
  <c r="AP106" i="6"/>
  <c r="AG106" i="6"/>
  <c r="AI106" i="6"/>
  <c r="X103" i="12"/>
  <c r="Y104" i="12"/>
  <c r="X104" i="12" s="1"/>
  <c r="M107" i="6"/>
  <c r="AT107" i="6" s="1"/>
  <c r="K108" i="12"/>
  <c r="N104" i="12"/>
  <c r="D104" i="12"/>
  <c r="E104" i="6"/>
  <c r="L109" i="12"/>
  <c r="J109" i="12"/>
  <c r="H108" i="6"/>
  <c r="T108" i="5" s="1"/>
  <c r="AM106" i="5"/>
  <c r="L106" i="5"/>
  <c r="I106" i="12"/>
  <c r="Z106" i="5"/>
  <c r="G107" i="12"/>
  <c r="X107" i="5"/>
  <c r="V103" i="12"/>
  <c r="U103" i="12"/>
  <c r="T103" i="12"/>
  <c r="D109" i="6"/>
  <c r="N110" i="5"/>
  <c r="K110" i="5"/>
  <c r="AE110" i="5"/>
  <c r="B110" i="5"/>
  <c r="W110" i="5"/>
  <c r="H110" i="12" s="1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W104" i="12" l="1"/>
  <c r="U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A109" i="6"/>
  <c r="N109" i="6" s="1"/>
  <c r="N108" i="6"/>
  <c r="M108" i="6"/>
  <c r="BF108" i="6" s="1"/>
  <c r="G111" i="5"/>
  <c r="K111" i="5"/>
  <c r="E111" i="5"/>
  <c r="A111" i="12"/>
  <c r="B111" i="5"/>
  <c r="B111" i="6"/>
  <c r="H111" i="5"/>
  <c r="W111" i="5"/>
  <c r="H111" i="12" s="1"/>
  <c r="AD111" i="5"/>
  <c r="J111" i="5"/>
  <c r="D111" i="5"/>
  <c r="B111" i="12" s="1"/>
  <c r="C112" i="5"/>
  <c r="F111" i="5"/>
  <c r="AE111" i="5"/>
  <c r="N111" i="5"/>
  <c r="J110" i="12"/>
  <c r="L110" i="12"/>
  <c r="D110" i="6"/>
  <c r="H109" i="6"/>
  <c r="T109" i="5" s="1"/>
  <c r="AM107" i="5"/>
  <c r="L107" i="5"/>
  <c r="I107" i="12"/>
  <c r="Z107" i="5"/>
  <c r="AB106" i="5"/>
  <c r="C106" i="12"/>
  <c r="M106" i="12"/>
  <c r="O106" i="12"/>
  <c r="AO106" i="12"/>
  <c r="C106" i="6"/>
  <c r="G108" i="12"/>
  <c r="X108" i="5"/>
  <c r="K109" i="12"/>
  <c r="T104" i="12" l="1"/>
  <c r="V104" i="12"/>
  <c r="M109" i="6"/>
  <c r="AV109" i="6" s="1"/>
  <c r="AH108" i="6"/>
  <c r="AI108" i="6"/>
  <c r="AO108" i="6"/>
  <c r="AV108" i="6"/>
  <c r="A110" i="6"/>
  <c r="N110" i="6" s="1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AB107" i="5"/>
  <c r="C107" i="12"/>
  <c r="AO107" i="12"/>
  <c r="M107" i="12"/>
  <c r="O107" i="12"/>
  <c r="G109" i="12"/>
  <c r="X109" i="5"/>
  <c r="H110" i="6"/>
  <c r="T110" i="5" s="1"/>
  <c r="F112" i="5"/>
  <c r="C113" i="5"/>
  <c r="G112" i="5"/>
  <c r="K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Y106" i="12"/>
  <c r="C107" i="6"/>
  <c r="D111" i="6"/>
  <c r="M110" i="6" l="1"/>
  <c r="AY110" i="6" s="1"/>
  <c r="AN109" i="6"/>
  <c r="AF109" i="6"/>
  <c r="AE109" i="6"/>
  <c r="AY109" i="6"/>
  <c r="AM109" i="6"/>
  <c r="AP109" i="6"/>
  <c r="AX109" i="6"/>
  <c r="AU109" i="6"/>
  <c r="BF109" i="6"/>
  <c r="AD109" i="6"/>
  <c r="AQ109" i="6"/>
  <c r="AO109" i="6"/>
  <c r="AB109" i="6"/>
  <c r="AC109" i="6"/>
  <c r="BC109" i="6"/>
  <c r="BG109" i="6"/>
  <c r="BA109" i="6"/>
  <c r="AH109" i="6"/>
  <c r="BE109" i="6"/>
  <c r="AT109" i="6"/>
  <c r="AS109" i="6"/>
  <c r="AR109" i="6"/>
  <c r="AZ109" i="6"/>
  <c r="AJ109" i="6"/>
  <c r="AK109" i="6"/>
  <c r="BD109" i="6"/>
  <c r="AI109" i="6"/>
  <c r="BB109" i="6"/>
  <c r="AG109" i="6"/>
  <c r="H111" i="6"/>
  <c r="T111" i="5" s="1"/>
  <c r="X106" i="12"/>
  <c r="W106" i="12"/>
  <c r="C108" i="12"/>
  <c r="AO108" i="12"/>
  <c r="M108" i="12"/>
  <c r="O108" i="12"/>
  <c r="A111" i="6"/>
  <c r="N111" i="6" s="1"/>
  <c r="L112" i="12"/>
  <c r="J112" i="12"/>
  <c r="G110" i="12"/>
  <c r="X110" i="5"/>
  <c r="AB108" i="5"/>
  <c r="C108" i="6"/>
  <c r="K111" i="12"/>
  <c r="D112" i="6"/>
  <c r="N113" i="5"/>
  <c r="H113" i="5"/>
  <c r="J113" i="5"/>
  <c r="A113" i="12"/>
  <c r="B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N107" i="12"/>
  <c r="Y107" i="12"/>
  <c r="AI110" i="6" l="1"/>
  <c r="BA110" i="6"/>
  <c r="AK110" i="6"/>
  <c r="BF110" i="6"/>
  <c r="AQ110" i="6"/>
  <c r="BB110" i="6"/>
  <c r="AS110" i="6"/>
  <c r="AB110" i="6"/>
  <c r="AH110" i="6"/>
  <c r="AF110" i="6"/>
  <c r="BC110" i="6"/>
  <c r="AP110" i="6"/>
  <c r="BD110" i="6"/>
  <c r="AJ110" i="6"/>
  <c r="AC110" i="6"/>
  <c r="BG110" i="6"/>
  <c r="AU110" i="6"/>
  <c r="AD110" i="6"/>
  <c r="AX110" i="6"/>
  <c r="AT110" i="6"/>
  <c r="AO110" i="6"/>
  <c r="AM110" i="6"/>
  <c r="AZ110" i="6"/>
  <c r="BE110" i="6"/>
  <c r="AV110" i="6"/>
  <c r="AG110" i="6"/>
  <c r="AR110" i="6"/>
  <c r="AE110" i="6"/>
  <c r="AN110" i="6"/>
  <c r="N108" i="12"/>
  <c r="W107" i="12"/>
  <c r="X107" i="12"/>
  <c r="D113" i="6"/>
  <c r="H112" i="6"/>
  <c r="T112" i="5" s="1"/>
  <c r="AM110" i="5"/>
  <c r="I110" i="12"/>
  <c r="L110" i="5"/>
  <c r="Z110" i="5"/>
  <c r="K112" i="12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W114" i="5"/>
  <c r="H114" i="12" s="1"/>
  <c r="C115" i="5"/>
  <c r="AD114" i="5"/>
  <c r="G114" i="5"/>
  <c r="D114" i="5"/>
  <c r="B114" i="12" s="1"/>
  <c r="H114" i="5"/>
  <c r="N114" i="5"/>
  <c r="E114" i="5"/>
  <c r="B114" i="5"/>
  <c r="J113" i="12"/>
  <c r="L113" i="12"/>
  <c r="A112" i="6"/>
  <c r="M111" i="6"/>
  <c r="AG111" i="6" s="1"/>
  <c r="A113" i="6" l="1"/>
  <c r="N113" i="6" s="1"/>
  <c r="AE111" i="6"/>
  <c r="AH111" i="6"/>
  <c r="AB111" i="6"/>
  <c r="AK111" i="6"/>
  <c r="K113" i="12"/>
  <c r="Y109" i="12"/>
  <c r="X109" i="12" s="1"/>
  <c r="AD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09" i="6"/>
  <c r="D109" i="12"/>
  <c r="L111" i="5"/>
  <c r="AM111" i="5"/>
  <c r="I111" i="12"/>
  <c r="Z111" i="5"/>
  <c r="C110" i="6"/>
  <c r="O110" i="5"/>
  <c r="N112" i="6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H113" i="6"/>
  <c r="T113" i="5" s="1"/>
  <c r="T107" i="12"/>
  <c r="V107" i="12"/>
  <c r="U107" i="12"/>
  <c r="M113" i="6" l="1"/>
  <c r="AO113" i="6" s="1"/>
  <c r="K114" i="12"/>
  <c r="W109" i="12"/>
  <c r="T109" i="12" s="1"/>
  <c r="Y110" i="12"/>
  <c r="W110" i="12" s="1"/>
  <c r="G113" i="12"/>
  <c r="X113" i="5"/>
  <c r="I112" i="12"/>
  <c r="AM112" i="5"/>
  <c r="L112" i="5"/>
  <c r="Z112" i="5"/>
  <c r="T108" i="12"/>
  <c r="V108" i="12"/>
  <c r="U108" i="12"/>
  <c r="AA111" i="5"/>
  <c r="AB111" i="5"/>
  <c r="C111" i="12"/>
  <c r="O111" i="12"/>
  <c r="AO111" i="12"/>
  <c r="M111" i="12"/>
  <c r="C111" i="6"/>
  <c r="O111" i="5"/>
  <c r="D115" i="6"/>
  <c r="W116" i="5"/>
  <c r="H116" i="12" s="1"/>
  <c r="AD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N110" i="12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A114" i="6"/>
  <c r="N114" i="6" s="1"/>
  <c r="J115" i="12"/>
  <c r="L115" i="12"/>
  <c r="AC113" i="6" l="1"/>
  <c r="AY113" i="6"/>
  <c r="AT113" i="6"/>
  <c r="AH113" i="6"/>
  <c r="AF113" i="6"/>
  <c r="AP113" i="6"/>
  <c r="AS113" i="6"/>
  <c r="AG113" i="6"/>
  <c r="AD113" i="6"/>
  <c r="AJ113" i="6"/>
  <c r="BG113" i="6"/>
  <c r="BD113" i="6"/>
  <c r="AE113" i="6"/>
  <c r="AU113" i="6"/>
  <c r="AI113" i="6"/>
  <c r="AK113" i="6"/>
  <c r="AR113" i="6"/>
  <c r="BF113" i="6"/>
  <c r="BB113" i="6"/>
  <c r="BC113" i="6"/>
  <c r="AZ113" i="6"/>
  <c r="AQ113" i="6"/>
  <c r="AB113" i="6"/>
  <c r="BE113" i="6"/>
  <c r="AM113" i="6"/>
  <c r="AV113" i="6"/>
  <c r="BA113" i="6"/>
  <c r="AX113" i="6"/>
  <c r="AN113" i="6"/>
  <c r="X110" i="12"/>
  <c r="V109" i="12"/>
  <c r="U109" i="12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AE117" i="5"/>
  <c r="K117" i="5"/>
  <c r="W117" i="5"/>
  <c r="H117" i="12" s="1"/>
  <c r="G117" i="5"/>
  <c r="A117" i="12"/>
  <c r="C118" i="5"/>
  <c r="J117" i="5"/>
  <c r="B117" i="5"/>
  <c r="N117" i="5"/>
  <c r="H115" i="6"/>
  <c r="T115" i="5" s="1"/>
  <c r="AB112" i="5"/>
  <c r="AA112" i="5"/>
  <c r="AM113" i="5"/>
  <c r="L113" i="5"/>
  <c r="I113" i="12"/>
  <c r="Z113" i="5"/>
  <c r="A115" i="6"/>
  <c r="K115" i="12"/>
  <c r="G114" i="12"/>
  <c r="X114" i="5"/>
  <c r="J116" i="12"/>
  <c r="L116" i="12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X111" i="12" l="1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N116" i="6" s="1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B113" i="5"/>
  <c r="AA113" i="5"/>
  <c r="C113" i="6"/>
  <c r="O113" i="5"/>
  <c r="V111" i="12"/>
  <c r="T111" i="12"/>
  <c r="U111" i="12"/>
  <c r="N115" i="6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H116" i="6"/>
  <c r="T116" i="5" s="1"/>
  <c r="AH115" i="6" l="1"/>
  <c r="A117" i="6"/>
  <c r="N117" i="6" s="1"/>
  <c r="AI115" i="6"/>
  <c r="X112" i="12"/>
  <c r="M116" i="6"/>
  <c r="AM116" i="6" s="1"/>
  <c r="AB115" i="6"/>
  <c r="AG115" i="6"/>
  <c r="K117" i="12"/>
  <c r="Y113" i="12"/>
  <c r="W113" i="12" s="1"/>
  <c r="G116" i="12"/>
  <c r="X116" i="5"/>
  <c r="D118" i="6"/>
  <c r="D113" i="12"/>
  <c r="E113" i="6"/>
  <c r="H117" i="6"/>
  <c r="T117" i="5" s="1"/>
  <c r="J118" i="12"/>
  <c r="L118" i="12"/>
  <c r="G119" i="5"/>
  <c r="H119" i="5"/>
  <c r="C120" i="5"/>
  <c r="J119" i="5"/>
  <c r="W119" i="5"/>
  <c r="H119" i="12" s="1"/>
  <c r="F119" i="5"/>
  <c r="AD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8" i="6" l="1"/>
  <c r="N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K118" i="12"/>
  <c r="C115" i="12"/>
  <c r="O115" i="12"/>
  <c r="AO115" i="12"/>
  <c r="M115" i="12"/>
  <c r="D119" i="6"/>
  <c r="A119" i="6" s="1"/>
  <c r="C121" i="5"/>
  <c r="B120" i="6"/>
  <c r="H120" i="5"/>
  <c r="AD120" i="5"/>
  <c r="E120" i="5"/>
  <c r="N120" i="5"/>
  <c r="F120" i="5"/>
  <c r="W120" i="5"/>
  <c r="H120" i="12" s="1"/>
  <c r="D120" i="5"/>
  <c r="B120" i="12" s="1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A115" i="5"/>
  <c r="AB115" i="5"/>
  <c r="C115" i="6"/>
  <c r="O115" i="5"/>
  <c r="D114" i="12"/>
  <c r="E114" i="6"/>
  <c r="N114" i="12"/>
  <c r="Y114" i="12"/>
  <c r="L119" i="12"/>
  <c r="J119" i="12"/>
  <c r="H118" i="6"/>
  <c r="T118" i="5" s="1"/>
  <c r="M118" i="6" l="1"/>
  <c r="BA118" i="6" s="1"/>
  <c r="BD117" i="6"/>
  <c r="AO117" i="6"/>
  <c r="AZ117" i="6"/>
  <c r="AJ117" i="6"/>
  <c r="AB117" i="6"/>
  <c r="BG117" i="6"/>
  <c r="AC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K119" i="12"/>
  <c r="G118" i="12"/>
  <c r="X118" i="5"/>
  <c r="X114" i="12"/>
  <c r="W114" i="12"/>
  <c r="E115" i="6"/>
  <c r="D115" i="12"/>
  <c r="AB116" i="5"/>
  <c r="AA116" i="5"/>
  <c r="I117" i="12"/>
  <c r="AM117" i="5"/>
  <c r="L117" i="5"/>
  <c r="Z117" i="5"/>
  <c r="J120" i="12"/>
  <c r="L120" i="12"/>
  <c r="D120" i="6"/>
  <c r="A120" i="6" s="1"/>
  <c r="N115" i="12"/>
  <c r="C116" i="6"/>
  <c r="O116" i="5"/>
  <c r="C116" i="12"/>
  <c r="O116" i="12"/>
  <c r="M116" i="12"/>
  <c r="AO116" i="12"/>
  <c r="B121" i="6"/>
  <c r="K121" i="5"/>
  <c r="N121" i="5"/>
  <c r="E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N119" i="6"/>
  <c r="H119" i="6"/>
  <c r="T119" i="5" s="1"/>
  <c r="M119" i="6"/>
  <c r="BB119" i="6" s="1"/>
  <c r="Y115" i="12"/>
  <c r="BD118" i="6" l="1"/>
  <c r="AZ118" i="6"/>
  <c r="AJ118" i="6"/>
  <c r="AH118" i="6"/>
  <c r="BG118" i="6"/>
  <c r="AV118" i="6"/>
  <c r="BE118" i="6"/>
  <c r="AM118" i="6"/>
  <c r="AQ118" i="6"/>
  <c r="BC118" i="6"/>
  <c r="AE118" i="6"/>
  <c r="AC118" i="6"/>
  <c r="AS118" i="6"/>
  <c r="AB118" i="6"/>
  <c r="BB118" i="6"/>
  <c r="BF118" i="6"/>
  <c r="AY118" i="6"/>
  <c r="AN118" i="6"/>
  <c r="AF118" i="6"/>
  <c r="AO118" i="6"/>
  <c r="AP118" i="6"/>
  <c r="AI118" i="6"/>
  <c r="AT118" i="6"/>
  <c r="AX118" i="6"/>
  <c r="AK118" i="6"/>
  <c r="AU118" i="6"/>
  <c r="AD118" i="6"/>
  <c r="AG118" i="6"/>
  <c r="AR118" i="6"/>
  <c r="Y116" i="12"/>
  <c r="X116" i="12" s="1"/>
  <c r="AO119" i="6"/>
  <c r="AE119" i="6"/>
  <c r="AR119" i="6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E116" i="6"/>
  <c r="D116" i="12"/>
  <c r="AA117" i="5"/>
  <c r="AB117" i="5"/>
  <c r="T114" i="12"/>
  <c r="U114" i="12"/>
  <c r="V114" i="12"/>
  <c r="AM118" i="5"/>
  <c r="I118" i="12"/>
  <c r="L118" i="5"/>
  <c r="Z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D121" i="6"/>
  <c r="A121" i="6" s="1"/>
  <c r="H120" i="6"/>
  <c r="T120" i="5" s="1"/>
  <c r="M120" i="6"/>
  <c r="BE120" i="6" s="1"/>
  <c r="N120" i="6"/>
  <c r="C117" i="6"/>
  <c r="O117" i="5"/>
  <c r="C117" i="12"/>
  <c r="AO117" i="12"/>
  <c r="M117" i="12"/>
  <c r="O117" i="12"/>
  <c r="W116" i="12" l="1"/>
  <c r="V116" i="12" s="1"/>
  <c r="K121" i="12"/>
  <c r="BG120" i="6"/>
  <c r="N117" i="12"/>
  <c r="AF120" i="6"/>
  <c r="AR120" i="6"/>
  <c r="AQ120" i="6"/>
  <c r="BA120" i="6"/>
  <c r="AH120" i="6"/>
  <c r="AD120" i="6"/>
  <c r="Y117" i="12"/>
  <c r="E117" i="6"/>
  <c r="D117" i="12"/>
  <c r="AC120" i="6"/>
  <c r="AO120" i="6"/>
  <c r="AY120" i="6"/>
  <c r="AP120" i="6"/>
  <c r="AM120" i="6"/>
  <c r="BB120" i="6"/>
  <c r="AE120" i="6"/>
  <c r="AI120" i="6"/>
  <c r="H121" i="6"/>
  <c r="T121" i="5" s="1"/>
  <c r="N121" i="6"/>
  <c r="M121" i="6"/>
  <c r="AP121" i="6" s="1"/>
  <c r="E123" i="5"/>
  <c r="D123" i="5"/>
  <c r="B123" i="12" s="1"/>
  <c r="W123" i="5"/>
  <c r="H123" i="12" s="1"/>
  <c r="AD123" i="5"/>
  <c r="F123" i="5"/>
  <c r="B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AB118" i="5"/>
  <c r="AA118" i="5"/>
  <c r="C118" i="6"/>
  <c r="O118" i="5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U115" i="12"/>
  <c r="V115" i="12"/>
  <c r="T115" i="12"/>
  <c r="C118" i="12"/>
  <c r="O118" i="12"/>
  <c r="M118" i="12"/>
  <c r="AO118" i="12"/>
  <c r="U116" i="12" l="1"/>
  <c r="T116" i="12"/>
  <c r="Y118" i="12"/>
  <c r="W118" i="12" s="1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A119" i="5"/>
  <c r="AB119" i="5"/>
  <c r="C119" i="6"/>
  <c r="O119" i="5"/>
  <c r="H122" i="6"/>
  <c r="T122" i="5" s="1"/>
  <c r="D123" i="6"/>
  <c r="F124" i="5"/>
  <c r="B124" i="6"/>
  <c r="D124" i="5"/>
  <c r="B124" i="12" s="1"/>
  <c r="J124" i="5"/>
  <c r="AD124" i="5"/>
  <c r="K124" i="5"/>
  <c r="A124" i="12"/>
  <c r="H124" i="5"/>
  <c r="E124" i="5"/>
  <c r="C125" i="5"/>
  <c r="G124" i="5"/>
  <c r="B124" i="5"/>
  <c r="AE124" i="5"/>
  <c r="N124" i="5"/>
  <c r="W124" i="5"/>
  <c r="H124" i="12" s="1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E118" i="6"/>
  <c r="D118" i="12"/>
  <c r="A122" i="6"/>
  <c r="N122" i="6" s="1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X118" i="12" l="1"/>
  <c r="Y119" i="12"/>
  <c r="W119" i="12" s="1"/>
  <c r="N119" i="12"/>
  <c r="A123" i="6"/>
  <c r="M123" i="6" s="1"/>
  <c r="M122" i="6"/>
  <c r="AU122" i="6" s="1"/>
  <c r="L121" i="5"/>
  <c r="I121" i="12"/>
  <c r="AM121" i="5"/>
  <c r="Z121" i="5"/>
  <c r="D124" i="6"/>
  <c r="AE125" i="5"/>
  <c r="E125" i="5"/>
  <c r="B125" i="6"/>
  <c r="N125" i="5"/>
  <c r="D125" i="5"/>
  <c r="B125" i="12" s="1"/>
  <c r="J125" i="5"/>
  <c r="G125" i="5"/>
  <c r="K125" i="5"/>
  <c r="AD125" i="5"/>
  <c r="A125" i="12"/>
  <c r="B125" i="5"/>
  <c r="C126" i="5" s="1"/>
  <c r="H125" i="5"/>
  <c r="F125" i="5"/>
  <c r="W125" i="5"/>
  <c r="H125" i="12" s="1"/>
  <c r="D119" i="12"/>
  <c r="E119" i="6"/>
  <c r="T118" i="12"/>
  <c r="V118" i="12"/>
  <c r="U118" i="12"/>
  <c r="V117" i="12"/>
  <c r="U117" i="12"/>
  <c r="T117" i="12"/>
  <c r="K123" i="12"/>
  <c r="AB120" i="5"/>
  <c r="AA120" i="5"/>
  <c r="C120" i="12"/>
  <c r="AO120" i="12"/>
  <c r="O120" i="12"/>
  <c r="M120" i="12"/>
  <c r="C120" i="6"/>
  <c r="O120" i="5"/>
  <c r="L124" i="12"/>
  <c r="J124" i="12"/>
  <c r="H123" i="6"/>
  <c r="T123" i="5" s="1"/>
  <c r="G122" i="12"/>
  <c r="X122" i="5"/>
  <c r="X119" i="12" l="1"/>
  <c r="AR122" i="6"/>
  <c r="A124" i="6"/>
  <c r="N124" i="6" s="1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N123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G123" i="12"/>
  <c r="X123" i="5"/>
  <c r="E120" i="6"/>
  <c r="D120" i="12"/>
  <c r="A126" i="12"/>
  <c r="B126" i="6"/>
  <c r="N126" i="5"/>
  <c r="B126" i="5"/>
  <c r="W126" i="5"/>
  <c r="H126" i="12" s="1"/>
  <c r="F126" i="5"/>
  <c r="AE126" i="5"/>
  <c r="H126" i="5"/>
  <c r="E126" i="5"/>
  <c r="C127" i="5"/>
  <c r="G126" i="5"/>
  <c r="AD126" i="5"/>
  <c r="D125" i="6"/>
  <c r="AA121" i="5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H124" i="6"/>
  <c r="T124" i="5" s="1"/>
  <c r="C121" i="6"/>
  <c r="O121" i="5"/>
  <c r="Y121" i="12" l="1"/>
  <c r="X121" i="12" s="1"/>
  <c r="M124" i="6"/>
  <c r="BF124" i="6" s="1"/>
  <c r="X120" i="12"/>
  <c r="N121" i="12"/>
  <c r="G124" i="12"/>
  <c r="X124" i="5"/>
  <c r="K125" i="12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B127" i="6"/>
  <c r="J127" i="5"/>
  <c r="A127" i="12"/>
  <c r="L123" i="5"/>
  <c r="AM123" i="5"/>
  <c r="I123" i="12"/>
  <c r="Z123" i="5"/>
  <c r="C122" i="6"/>
  <c r="O122" i="5"/>
  <c r="D121" i="12"/>
  <c r="E121" i="6"/>
  <c r="A125" i="6"/>
  <c r="M125" i="6" s="1"/>
  <c r="E126" i="12"/>
  <c r="F126" i="6"/>
  <c r="D126" i="6"/>
  <c r="V120" i="12"/>
  <c r="T120" i="12"/>
  <c r="U120" i="12"/>
  <c r="AB122" i="5"/>
  <c r="AA122" i="5"/>
  <c r="C122" i="12"/>
  <c r="M122" i="12"/>
  <c r="AO122" i="12"/>
  <c r="O122" i="12"/>
  <c r="AK124" i="6" l="1"/>
  <c r="AM124" i="6"/>
  <c r="AF124" i="6"/>
  <c r="BG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D127" i="6"/>
  <c r="L124" i="5"/>
  <c r="I124" i="12"/>
  <c r="AM124" i="5"/>
  <c r="Z124" i="5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H128" i="5"/>
  <c r="AE128" i="5"/>
  <c r="F128" i="5"/>
  <c r="N125" i="6"/>
  <c r="G125" i="12"/>
  <c r="X125" i="5"/>
  <c r="AJ125" i="6"/>
  <c r="AK125" i="6"/>
  <c r="T121" i="12" l="1"/>
  <c r="U121" i="12"/>
  <c r="X122" i="12"/>
  <c r="K127" i="12"/>
  <c r="A127" i="6"/>
  <c r="N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C124" i="12"/>
  <c r="O124" i="12"/>
  <c r="AO124" i="12"/>
  <c r="M124" i="12"/>
  <c r="G126" i="12"/>
  <c r="I125" i="12"/>
  <c r="L125" i="5"/>
  <c r="AM125" i="5"/>
  <c r="Z125" i="5"/>
  <c r="AD129" i="5"/>
  <c r="B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H127" i="6"/>
  <c r="T127" i="5" s="1"/>
  <c r="AH126" i="6"/>
  <c r="AJ126" i="6"/>
  <c r="AC126" i="6"/>
  <c r="AD126" i="6"/>
  <c r="N126" i="6"/>
  <c r="T122" i="12"/>
  <c r="V122" i="12"/>
  <c r="U122" i="12"/>
  <c r="M127" i="6" l="1"/>
  <c r="BA127" i="6" s="1"/>
  <c r="A128" i="6"/>
  <c r="Y124" i="12"/>
  <c r="W124" i="12" s="1"/>
  <c r="D124" i="12"/>
  <c r="E124" i="6"/>
  <c r="X123" i="12"/>
  <c r="W123" i="12"/>
  <c r="D129" i="6"/>
  <c r="C125" i="12"/>
  <c r="M125" i="12"/>
  <c r="AO125" i="12"/>
  <c r="O125" i="12"/>
  <c r="K128" i="12"/>
  <c r="G127" i="12"/>
  <c r="X127" i="5"/>
  <c r="AE130" i="5"/>
  <c r="G130" i="5"/>
  <c r="K130" i="5"/>
  <c r="B130" i="6"/>
  <c r="N130" i="5"/>
  <c r="J130" i="5"/>
  <c r="C131" i="5"/>
  <c r="W130" i="5"/>
  <c r="H130" i="12" s="1"/>
  <c r="H130" i="5"/>
  <c r="B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N124" i="12"/>
  <c r="H128" i="6"/>
  <c r="T128" i="5" s="1"/>
  <c r="M128" i="6" l="1"/>
  <c r="AX128" i="6" s="1"/>
  <c r="AY127" i="6"/>
  <c r="AG127" i="6"/>
  <c r="AO127" i="6"/>
  <c r="AS127" i="6"/>
  <c r="AK127" i="6"/>
  <c r="AX127" i="6"/>
  <c r="AB127" i="6"/>
  <c r="BF127" i="6"/>
  <c r="AC127" i="6"/>
  <c r="AI127" i="6"/>
  <c r="AR127" i="6"/>
  <c r="AP127" i="6"/>
  <c r="AN127" i="6"/>
  <c r="AE127" i="6"/>
  <c r="AH127" i="6"/>
  <c r="BD127" i="6"/>
  <c r="BC127" i="6"/>
  <c r="AM127" i="6"/>
  <c r="AV127" i="6"/>
  <c r="AQ127" i="6"/>
  <c r="BE127" i="6"/>
  <c r="AD127" i="6"/>
  <c r="BG127" i="6"/>
  <c r="AF127" i="6"/>
  <c r="AT127" i="6"/>
  <c r="AU127" i="6"/>
  <c r="AZ127" i="6"/>
  <c r="BB127" i="6"/>
  <c r="AJ127" i="6"/>
  <c r="N128" i="6"/>
  <c r="N125" i="12"/>
  <c r="X124" i="12"/>
  <c r="Y125" i="12"/>
  <c r="X125" i="12" s="1"/>
  <c r="G128" i="12"/>
  <c r="X128" i="5"/>
  <c r="E125" i="6"/>
  <c r="D125" i="12"/>
  <c r="T124" i="12"/>
  <c r="U124" i="12"/>
  <c r="V124" i="12"/>
  <c r="H129" i="6"/>
  <c r="T129" i="5" s="1"/>
  <c r="K129" i="12"/>
  <c r="A129" i="6"/>
  <c r="N129" i="6" s="1"/>
  <c r="L130" i="12"/>
  <c r="J130" i="12"/>
  <c r="N131" i="5"/>
  <c r="C132" i="5"/>
  <c r="AE131" i="5"/>
  <c r="W131" i="5"/>
  <c r="H131" i="12" s="1"/>
  <c r="H131" i="5"/>
  <c r="E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U123" i="12"/>
  <c r="V123" i="12"/>
  <c r="T123" i="12"/>
  <c r="AB128" i="6" l="1"/>
  <c r="AV128" i="6"/>
  <c r="AC128" i="6"/>
  <c r="BB128" i="6"/>
  <c r="AH128" i="6"/>
  <c r="AI128" i="6"/>
  <c r="AT128" i="6"/>
  <c r="BF128" i="6"/>
  <c r="AS128" i="6"/>
  <c r="AG128" i="6"/>
  <c r="AU128" i="6"/>
  <c r="AF128" i="6"/>
  <c r="BG128" i="6"/>
  <c r="BD128" i="6"/>
  <c r="AP128" i="6"/>
  <c r="AN128" i="6"/>
  <c r="AJ128" i="6"/>
  <c r="BA128" i="6"/>
  <c r="AK128" i="6"/>
  <c r="AE128" i="6"/>
  <c r="BE128" i="6"/>
  <c r="AQ128" i="6"/>
  <c r="AD128" i="6"/>
  <c r="BC128" i="6"/>
  <c r="AY128" i="6"/>
  <c r="AM128" i="6"/>
  <c r="AR128" i="6"/>
  <c r="AZ128" i="6"/>
  <c r="AO128" i="6"/>
  <c r="W125" i="12"/>
  <c r="U125" i="12" s="1"/>
  <c r="M129" i="6"/>
  <c r="AJ129" i="6" s="1"/>
  <c r="C127" i="6"/>
  <c r="H130" i="6"/>
  <c r="T130" i="5" s="1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J132" i="5"/>
  <c r="K130" i="12"/>
  <c r="G129" i="12"/>
  <c r="X129" i="5"/>
  <c r="V125" i="12"/>
  <c r="T125" i="12"/>
  <c r="A130" i="6"/>
  <c r="N130" i="6" s="1"/>
  <c r="I128" i="12"/>
  <c r="AM128" i="5"/>
  <c r="L128" i="5"/>
  <c r="Z128" i="5"/>
  <c r="AB127" i="5"/>
  <c r="C127" i="12"/>
  <c r="O127" i="12"/>
  <c r="AO127" i="12"/>
  <c r="M127" i="12"/>
  <c r="D131" i="6"/>
  <c r="AK129" i="6" l="1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AB128" i="5"/>
  <c r="C128" i="6"/>
  <c r="C128" i="12"/>
  <c r="M128" i="12"/>
  <c r="O128" i="12"/>
  <c r="AO128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A133" i="12"/>
  <c r="W133" i="5"/>
  <c r="H133" i="12" s="1"/>
  <c r="H133" i="5"/>
  <c r="C134" i="5"/>
  <c r="H131" i="6"/>
  <c r="T131" i="5" s="1"/>
  <c r="N127" i="12"/>
  <c r="L129" i="5"/>
  <c r="AM129" i="5"/>
  <c r="I129" i="12"/>
  <c r="Z129" i="5"/>
  <c r="K131" i="12"/>
  <c r="M130" i="6"/>
  <c r="G130" i="12"/>
  <c r="X130" i="5"/>
  <c r="W127" i="12" l="1"/>
  <c r="U127" i="12" s="1"/>
  <c r="AP131" i="6"/>
  <c r="BD131" i="6"/>
  <c r="A132" i="6"/>
  <c r="M132" i="6" s="1"/>
  <c r="BC132" i="6" s="1"/>
  <c r="N131" i="6"/>
  <c r="BB131" i="6"/>
  <c r="AZ131" i="6"/>
  <c r="AO131" i="6"/>
  <c r="AT131" i="6"/>
  <c r="AM131" i="6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B129" i="5"/>
  <c r="C129" i="12"/>
  <c r="M129" i="12"/>
  <c r="O129" i="12"/>
  <c r="AO129" i="12"/>
  <c r="C129" i="6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K132" i="12"/>
  <c r="N128" i="12"/>
  <c r="A133" i="6" l="1"/>
  <c r="M133" i="6" s="1"/>
  <c r="V127" i="12"/>
  <c r="T127" i="12"/>
  <c r="X128" i="12"/>
  <c r="N132" i="6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C136" i="5"/>
  <c r="E135" i="5"/>
  <c r="A135" i="12"/>
  <c r="K135" i="5"/>
  <c r="J134" i="12"/>
  <c r="L134" i="12"/>
  <c r="AB130" i="5"/>
  <c r="C130" i="12"/>
  <c r="M130" i="12"/>
  <c r="AO130" i="12"/>
  <c r="O130" i="12"/>
  <c r="C130" i="6"/>
  <c r="T128" i="12"/>
  <c r="U128" i="12"/>
  <c r="V128" i="12"/>
  <c r="I131" i="12"/>
  <c r="L131" i="5"/>
  <c r="AM131" i="5"/>
  <c r="Z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Y129" i="12"/>
  <c r="A134" i="6" l="1"/>
  <c r="N134" i="6" s="1"/>
  <c r="N133" i="6"/>
  <c r="N130" i="12"/>
  <c r="AC133" i="6"/>
  <c r="K134" i="12"/>
  <c r="BD133" i="6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2" i="5"/>
  <c r="AM132" i="5"/>
  <c r="I132" i="12"/>
  <c r="Z132" i="5"/>
  <c r="AB131" i="5"/>
  <c r="C131" i="6"/>
  <c r="L135" i="12"/>
  <c r="J135" i="12"/>
  <c r="H134" i="6"/>
  <c r="T134" i="5" s="1"/>
  <c r="C131" i="12"/>
  <c r="AO131" i="12"/>
  <c r="O131" i="12"/>
  <c r="M131" i="12"/>
  <c r="B136" i="5"/>
  <c r="K136" i="5"/>
  <c r="W136" i="5"/>
  <c r="H136" i="12" s="1"/>
  <c r="D136" i="5"/>
  <c r="B136" i="12" s="1"/>
  <c r="J136" i="5"/>
  <c r="H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M134" i="6" l="1"/>
  <c r="AV134" i="6" s="1"/>
  <c r="X130" i="12"/>
  <c r="Y131" i="12"/>
  <c r="X131" i="12" s="1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N137" i="5"/>
  <c r="AD137" i="5"/>
  <c r="E137" i="5"/>
  <c r="C138" i="5"/>
  <c r="AE137" i="5"/>
  <c r="F137" i="5"/>
  <c r="K137" i="5"/>
  <c r="A135" i="6"/>
  <c r="N135" i="6" s="1"/>
  <c r="I133" i="12"/>
  <c r="AM133" i="5"/>
  <c r="L133" i="5"/>
  <c r="Z133" i="5"/>
  <c r="D136" i="6"/>
  <c r="J136" i="12"/>
  <c r="L136" i="12"/>
  <c r="N131" i="12"/>
  <c r="G134" i="12"/>
  <c r="X134" i="5"/>
  <c r="K135" i="12"/>
  <c r="T130" i="12"/>
  <c r="U130" i="12"/>
  <c r="V130" i="12"/>
  <c r="AB132" i="5"/>
  <c r="C132" i="12"/>
  <c r="M132" i="12"/>
  <c r="AO132" i="12"/>
  <c r="O132" i="12"/>
  <c r="C132" i="6"/>
  <c r="U129" i="12"/>
  <c r="T129" i="12"/>
  <c r="V129" i="12"/>
  <c r="BG134" i="6" l="1"/>
  <c r="AO134" i="6"/>
  <c r="AD134" i="6"/>
  <c r="AC134" i="6"/>
  <c r="AG134" i="6"/>
  <c r="AY134" i="6"/>
  <c r="AB134" i="6"/>
  <c r="AP134" i="6"/>
  <c r="BB134" i="6"/>
  <c r="AU134" i="6"/>
  <c r="AZ134" i="6"/>
  <c r="BC134" i="6"/>
  <c r="AX134" i="6"/>
  <c r="AI134" i="6"/>
  <c r="AF134" i="6"/>
  <c r="BD134" i="6"/>
  <c r="BF134" i="6"/>
  <c r="AS134" i="6"/>
  <c r="AR134" i="6"/>
  <c r="AJ134" i="6"/>
  <c r="AT134" i="6"/>
  <c r="BA134" i="6"/>
  <c r="AH134" i="6"/>
  <c r="AN134" i="6"/>
  <c r="AK134" i="6"/>
  <c r="BE134" i="6"/>
  <c r="AQ134" i="6"/>
  <c r="AE134" i="6"/>
  <c r="AM134" i="6"/>
  <c r="W131" i="12"/>
  <c r="T131" i="12" s="1"/>
  <c r="N132" i="12"/>
  <c r="A136" i="6"/>
  <c r="N136" i="6" s="1"/>
  <c r="Y132" i="12"/>
  <c r="W132" i="12" s="1"/>
  <c r="K136" i="12"/>
  <c r="H136" i="6"/>
  <c r="T136" i="5" s="1"/>
  <c r="AB133" i="5"/>
  <c r="C133" i="6"/>
  <c r="C133" i="12"/>
  <c r="AO133" i="12"/>
  <c r="O133" i="12"/>
  <c r="M133" i="12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AM134" i="5"/>
  <c r="L134" i="5"/>
  <c r="I134" i="12"/>
  <c r="Z134" i="5"/>
  <c r="D137" i="6"/>
  <c r="L137" i="12"/>
  <c r="J137" i="12"/>
  <c r="M135" i="6"/>
  <c r="AB135" i="6" s="1"/>
  <c r="G135" i="12"/>
  <c r="X135" i="5"/>
  <c r="V131" i="12" l="1"/>
  <c r="U131" i="12"/>
  <c r="M136" i="6"/>
  <c r="AU136" i="6" s="1"/>
  <c r="X132" i="12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G136" i="12"/>
  <c r="X136" i="5"/>
  <c r="U132" i="12"/>
  <c r="V132" i="12"/>
  <c r="T132" i="12"/>
  <c r="AE135" i="6"/>
  <c r="K137" i="12"/>
  <c r="H137" i="6"/>
  <c r="T137" i="5" s="1"/>
  <c r="C134" i="6"/>
  <c r="O134" i="5"/>
  <c r="A137" i="6"/>
  <c r="D138" i="6"/>
  <c r="AE139" i="5"/>
  <c r="B139" i="6"/>
  <c r="F139" i="5"/>
  <c r="AD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N133" i="12"/>
  <c r="AB136" i="6" l="1"/>
  <c r="AK136" i="6"/>
  <c r="AM136" i="6"/>
  <c r="BC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A138" i="6"/>
  <c r="N138" i="6" s="1"/>
  <c r="D139" i="6"/>
  <c r="J139" i="12"/>
  <c r="L139" i="12"/>
  <c r="M137" i="6"/>
  <c r="N134" i="12"/>
  <c r="C135" i="12"/>
  <c r="O135" i="12"/>
  <c r="M135" i="12"/>
  <c r="AO135" i="12"/>
  <c r="K138" i="12"/>
  <c r="B140" i="5"/>
  <c r="C141" i="5" s="1"/>
  <c r="A140" i="12"/>
  <c r="AE140" i="5"/>
  <c r="B140" i="6"/>
  <c r="F140" i="5"/>
  <c r="K140" i="5"/>
  <c r="N140" i="5"/>
  <c r="AD140" i="5"/>
  <c r="W140" i="5"/>
  <c r="H140" i="12" s="1"/>
  <c r="G140" i="5"/>
  <c r="J140" i="5"/>
  <c r="D140" i="5"/>
  <c r="B140" i="12" s="1"/>
  <c r="H140" i="5"/>
  <c r="E140" i="5"/>
  <c r="H138" i="6"/>
  <c r="T138" i="5" s="1"/>
  <c r="D134" i="12"/>
  <c r="E134" i="6"/>
  <c r="N137" i="6"/>
  <c r="G137" i="12"/>
  <c r="X137" i="5"/>
  <c r="AM136" i="5"/>
  <c r="I136" i="12"/>
  <c r="L136" i="5"/>
  <c r="Z136" i="5"/>
  <c r="Y134" i="12"/>
  <c r="AB135" i="5"/>
  <c r="AA135" i="5"/>
  <c r="C135" i="6"/>
  <c r="O135" i="5"/>
  <c r="T133" i="12" l="1"/>
  <c r="Y135" i="12"/>
  <c r="W135" i="12" s="1"/>
  <c r="U133" i="12"/>
  <c r="M138" i="6"/>
  <c r="AP138" i="6" s="1"/>
  <c r="K139" i="12"/>
  <c r="A139" i="6"/>
  <c r="N139" i="6" s="1"/>
  <c r="D135" i="12"/>
  <c r="E135" i="6"/>
  <c r="X134" i="12"/>
  <c r="W134" i="12"/>
  <c r="C136" i="6"/>
  <c r="O136" i="5"/>
  <c r="B141" i="6"/>
  <c r="C142" i="5"/>
  <c r="G141" i="5"/>
  <c r="B141" i="5"/>
  <c r="A141" i="12"/>
  <c r="N141" i="5"/>
  <c r="F141" i="5"/>
  <c r="AD141" i="5"/>
  <c r="E141" i="5"/>
  <c r="AE141" i="5"/>
  <c r="H141" i="5"/>
  <c r="W141" i="5"/>
  <c r="H141" i="12" s="1"/>
  <c r="J140" i="12"/>
  <c r="L140" i="12"/>
  <c r="AB136" i="5"/>
  <c r="AA136" i="5"/>
  <c r="C136" i="12"/>
  <c r="O136" i="12"/>
  <c r="M136" i="12"/>
  <c r="AO136" i="12"/>
  <c r="AM137" i="5"/>
  <c r="I137" i="12"/>
  <c r="L137" i="5"/>
  <c r="Z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H139" i="6"/>
  <c r="T139" i="5" s="1"/>
  <c r="X135" i="12" l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G139" i="12"/>
  <c r="X139" i="5"/>
  <c r="V135" i="12"/>
  <c r="T135" i="12"/>
  <c r="U135" i="12"/>
  <c r="L138" i="5"/>
  <c r="I138" i="12"/>
  <c r="AM138" i="5"/>
  <c r="Z138" i="5"/>
  <c r="C137" i="12"/>
  <c r="O137" i="12"/>
  <c r="AO137" i="12"/>
  <c r="M137" i="12"/>
  <c r="D142" i="5"/>
  <c r="B142" i="12" s="1"/>
  <c r="K142" i="5"/>
  <c r="N142" i="5"/>
  <c r="B142" i="6"/>
  <c r="AD142" i="5"/>
  <c r="H142" i="5"/>
  <c r="F142" i="5"/>
  <c r="B142" i="5"/>
  <c r="W142" i="5"/>
  <c r="H142" i="12" s="1"/>
  <c r="C143" i="5"/>
  <c r="A142" i="12"/>
  <c r="G142" i="5"/>
  <c r="AE142" i="5"/>
  <c r="J142" i="5"/>
  <c r="E142" i="5"/>
  <c r="D136" i="12"/>
  <c r="E136" i="6"/>
  <c r="U134" i="12"/>
  <c r="V134" i="12"/>
  <c r="T134" i="12"/>
  <c r="H140" i="6"/>
  <c r="T140" i="5" s="1"/>
  <c r="AB137" i="5"/>
  <c r="AA137" i="5"/>
  <c r="C137" i="6"/>
  <c r="O137" i="5"/>
  <c r="A140" i="6"/>
  <c r="N140" i="6" s="1"/>
  <c r="D141" i="6"/>
  <c r="E141" i="12"/>
  <c r="F141" i="6"/>
  <c r="AS139" i="6" l="1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N141" i="6" s="1"/>
  <c r="Y137" i="12"/>
  <c r="W137" i="12" s="1"/>
  <c r="G141" i="6"/>
  <c r="H141" i="6"/>
  <c r="T141" i="5" s="1"/>
  <c r="E137" i="6"/>
  <c r="D137" i="12"/>
  <c r="G140" i="12"/>
  <c r="X140" i="5"/>
  <c r="L142" i="12"/>
  <c r="J142" i="12"/>
  <c r="AA138" i="5"/>
  <c r="AB138" i="5"/>
  <c r="C138" i="6"/>
  <c r="O138" i="5"/>
  <c r="AM139" i="5"/>
  <c r="L139" i="5"/>
  <c r="I139" i="12"/>
  <c r="Z139" i="5"/>
  <c r="M140" i="6"/>
  <c r="N143" i="5"/>
  <c r="B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D142" i="6"/>
  <c r="N137" i="12"/>
  <c r="C138" i="12"/>
  <c r="M138" i="12"/>
  <c r="O138" i="12"/>
  <c r="AO138" i="12"/>
  <c r="T136" i="12" l="1"/>
  <c r="U136" i="12"/>
  <c r="X137" i="12"/>
  <c r="M141" i="6"/>
  <c r="AU141" i="6" s="1"/>
  <c r="A142" i="6"/>
  <c r="N142" i="6" s="1"/>
  <c r="N138" i="12"/>
  <c r="AE144" i="5"/>
  <c r="C145" i="5"/>
  <c r="E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Y138" i="12"/>
  <c r="H142" i="6"/>
  <c r="T142" i="5" s="1"/>
  <c r="L143" i="12"/>
  <c r="J143" i="12"/>
  <c r="AD140" i="6"/>
  <c r="AG140" i="6"/>
  <c r="AC140" i="6"/>
  <c r="C139" i="12"/>
  <c r="O139" i="12"/>
  <c r="AO139" i="12"/>
  <c r="M139" i="12"/>
  <c r="K142" i="12"/>
  <c r="G141" i="12"/>
  <c r="AI141" i="6" l="1"/>
  <c r="M142" i="6"/>
  <c r="AQ142" i="6" s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N143" i="6" s="1"/>
  <c r="N139" i="12"/>
  <c r="G142" i="12"/>
  <c r="X142" i="5"/>
  <c r="H143" i="6"/>
  <c r="T143" i="5" s="1"/>
  <c r="D144" i="6"/>
  <c r="J144" i="12"/>
  <c r="L144" i="12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C146" i="5"/>
  <c r="B145" i="5"/>
  <c r="K145" i="5"/>
  <c r="AD145" i="5"/>
  <c r="Y139" i="12"/>
  <c r="K143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C142" i="6" l="1"/>
  <c r="AK142" i="6"/>
  <c r="AF142" i="6"/>
  <c r="BC142" i="6"/>
  <c r="BD142" i="6"/>
  <c r="AO142" i="6"/>
  <c r="AS142" i="6"/>
  <c r="AI142" i="6"/>
  <c r="AU142" i="6"/>
  <c r="BG142" i="6"/>
  <c r="AN142" i="6"/>
  <c r="AH142" i="6"/>
  <c r="AD142" i="6"/>
  <c r="AX142" i="6"/>
  <c r="BF142" i="6"/>
  <c r="AG142" i="6"/>
  <c r="AM142" i="6"/>
  <c r="AB142" i="6"/>
  <c r="BB142" i="6"/>
  <c r="AE142" i="6"/>
  <c r="AZ142" i="6"/>
  <c r="BA142" i="6"/>
  <c r="AJ142" i="6"/>
  <c r="AV142" i="6"/>
  <c r="BE142" i="6"/>
  <c r="AT142" i="6"/>
  <c r="AY142" i="6"/>
  <c r="AP142" i="6"/>
  <c r="AR142" i="6"/>
  <c r="Y140" i="12"/>
  <c r="X140" i="12" s="1"/>
  <c r="M143" i="6"/>
  <c r="BD143" i="6" s="1"/>
  <c r="A144" i="6"/>
  <c r="M144" i="6" s="1"/>
  <c r="V138" i="12"/>
  <c r="U138" i="12"/>
  <c r="T138" i="12"/>
  <c r="H144" i="6"/>
  <c r="T144" i="5" s="1"/>
  <c r="N140" i="12"/>
  <c r="D140" i="12"/>
  <c r="E140" i="6"/>
  <c r="X139" i="12"/>
  <c r="W139" i="12"/>
  <c r="B146" i="6"/>
  <c r="W146" i="5"/>
  <c r="H146" i="12" s="1"/>
  <c r="J146" i="5"/>
  <c r="C147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BA143" i="6" l="1"/>
  <c r="AJ143" i="6"/>
  <c r="BB143" i="6"/>
  <c r="BF143" i="6"/>
  <c r="W140" i="12"/>
  <c r="T140" i="12" s="1"/>
  <c r="A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N144" i="6"/>
  <c r="AF144" i="6"/>
  <c r="AY144" i="6"/>
  <c r="C142" i="6"/>
  <c r="AM143" i="5"/>
  <c r="I143" i="12"/>
  <c r="L143" i="5"/>
  <c r="Z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B147" i="6"/>
  <c r="H147" i="5"/>
  <c r="K147" i="5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B142" i="5"/>
  <c r="C142" i="12"/>
  <c r="M142" i="12"/>
  <c r="O142" i="12"/>
  <c r="AO142" i="12"/>
  <c r="K145" i="12"/>
  <c r="H145" i="6"/>
  <c r="T145" i="5" s="1"/>
  <c r="A145" i="6"/>
  <c r="L146" i="12"/>
  <c r="J146" i="12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U140" i="12" l="1"/>
  <c r="V140" i="12"/>
  <c r="A146" i="6"/>
  <c r="M146" i="6" s="1"/>
  <c r="AZ146" i="6" s="1"/>
  <c r="N142" i="12"/>
  <c r="N145" i="6"/>
  <c r="M145" i="6"/>
  <c r="AC145" i="6" s="1"/>
  <c r="K146" i="12"/>
  <c r="G145" i="12"/>
  <c r="X145" i="5"/>
  <c r="B148" i="5"/>
  <c r="K148" i="5"/>
  <c r="D148" i="5"/>
  <c r="B148" i="12" s="1"/>
  <c r="B148" i="6"/>
  <c r="C149" i="5"/>
  <c r="H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L144" i="5"/>
  <c r="AM144" i="5"/>
  <c r="I144" i="12"/>
  <c r="Z144" i="5"/>
  <c r="Y142" i="12"/>
  <c r="L147" i="12"/>
  <c r="J147" i="12"/>
  <c r="D147" i="6"/>
  <c r="H146" i="6"/>
  <c r="T146" i="5" s="1"/>
  <c r="AB143" i="5"/>
  <c r="C143" i="6"/>
  <c r="N143" i="12" l="1"/>
  <c r="AF145" i="6"/>
  <c r="N146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AB144" i="5"/>
  <c r="C144" i="12"/>
  <c r="O144" i="12"/>
  <c r="M144" i="12"/>
  <c r="AO144" i="12"/>
  <c r="C144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H147" i="6"/>
  <c r="T147" i="5" s="1"/>
  <c r="X142" i="12"/>
  <c r="W142" i="12"/>
  <c r="L148" i="12"/>
  <c r="J148" i="12"/>
  <c r="D148" i="6"/>
  <c r="A147" i="6"/>
  <c r="N147" i="6" s="1"/>
  <c r="I145" i="12"/>
  <c r="AM145" i="5"/>
  <c r="L145" i="5"/>
  <c r="Z145" i="5"/>
  <c r="Y144" i="12" l="1"/>
  <c r="X144" i="12" s="1"/>
  <c r="X143" i="12"/>
  <c r="A148" i="6"/>
  <c r="N148" i="6" s="1"/>
  <c r="M147" i="6"/>
  <c r="AI147" i="6" s="1"/>
  <c r="N144" i="12"/>
  <c r="AB145" i="5"/>
  <c r="C145" i="6"/>
  <c r="C145" i="12"/>
  <c r="O145" i="12"/>
  <c r="AO145" i="12"/>
  <c r="M145" i="12"/>
  <c r="U142" i="12"/>
  <c r="T142" i="12"/>
  <c r="V142" i="12"/>
  <c r="L146" i="5"/>
  <c r="I146" i="12"/>
  <c r="AM146" i="5"/>
  <c r="Z146" i="5"/>
  <c r="D149" i="6"/>
  <c r="B150" i="6"/>
  <c r="B150" i="5"/>
  <c r="K150" i="5"/>
  <c r="A150" i="12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H148" i="6"/>
  <c r="T148" i="5" s="1"/>
  <c r="K148" i="12"/>
  <c r="G147" i="12"/>
  <c r="X147" i="5"/>
  <c r="U143" i="12"/>
  <c r="T143" i="12"/>
  <c r="V143" i="12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AD151" i="5"/>
  <c r="A151" i="12"/>
  <c r="K151" i="5"/>
  <c r="H149" i="6"/>
  <c r="T149" i="5" s="1"/>
  <c r="C146" i="6"/>
  <c r="N145" i="12"/>
  <c r="A149" i="6"/>
  <c r="N149" i="6" s="1"/>
  <c r="G148" i="12"/>
  <c r="X148" i="5"/>
  <c r="K149" i="12"/>
  <c r="D150" i="6"/>
  <c r="L150" i="12"/>
  <c r="J150" i="12"/>
  <c r="AB146" i="5"/>
  <c r="C146" i="12"/>
  <c r="AO146" i="12"/>
  <c r="M146" i="12"/>
  <c r="O146" i="12"/>
  <c r="Y145" i="12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M149" i="6"/>
  <c r="AH149" i="6" s="1"/>
  <c r="A150" i="6"/>
  <c r="N150" i="6" s="1"/>
  <c r="J151" i="12"/>
  <c r="L151" i="12"/>
  <c r="D151" i="6"/>
  <c r="AB147" i="5"/>
  <c r="AA147" i="5"/>
  <c r="C147" i="6"/>
  <c r="O147" i="5"/>
  <c r="N146" i="12"/>
  <c r="Y146" i="12"/>
  <c r="K150" i="12"/>
  <c r="H150" i="6"/>
  <c r="T150" i="5" s="1"/>
  <c r="I148" i="12"/>
  <c r="L148" i="5"/>
  <c r="AM148" i="5"/>
  <c r="Z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AE152" i="5"/>
  <c r="J152" i="5"/>
  <c r="B152" i="6"/>
  <c r="A152" i="12"/>
  <c r="C147" i="12"/>
  <c r="M147" i="12"/>
  <c r="O147" i="12"/>
  <c r="AO147" i="12"/>
  <c r="M150" i="6" l="1"/>
  <c r="AZ150" i="6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C148" i="6"/>
  <c r="O148" i="5"/>
  <c r="H151" i="6"/>
  <c r="T151" i="5" s="1"/>
  <c r="U145" i="12"/>
  <c r="V145" i="12"/>
  <c r="T145" i="12"/>
  <c r="N147" i="12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J150" i="6" l="1"/>
  <c r="AC150" i="6"/>
  <c r="AU150" i="6"/>
  <c r="BA150" i="6"/>
  <c r="BD150" i="6"/>
  <c r="AF150" i="6"/>
  <c r="BC150" i="6"/>
  <c r="AD150" i="6"/>
  <c r="AY150" i="6"/>
  <c r="AH150" i="6"/>
  <c r="AV150" i="6"/>
  <c r="BG150" i="6"/>
  <c r="AB150" i="6"/>
  <c r="AP150" i="6"/>
  <c r="AS150" i="6"/>
  <c r="AE150" i="6"/>
  <c r="AK150" i="6"/>
  <c r="AI150" i="6"/>
  <c r="AG150" i="6"/>
  <c r="AM150" i="6"/>
  <c r="AT150" i="6"/>
  <c r="AX150" i="6"/>
  <c r="BE150" i="6"/>
  <c r="AN150" i="6"/>
  <c r="AR150" i="6"/>
  <c r="BF150" i="6"/>
  <c r="AO150" i="6"/>
  <c r="BB150" i="6"/>
  <c r="AQ150" i="6"/>
  <c r="X147" i="12"/>
  <c r="N151" i="6"/>
  <c r="A152" i="6"/>
  <c r="M152" i="6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H152" i="6"/>
  <c r="T152" i="5" s="1"/>
  <c r="L150" i="5"/>
  <c r="AM150" i="5"/>
  <c r="I150" i="12"/>
  <c r="Z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D153" i="6"/>
  <c r="U147" i="12"/>
  <c r="T147" i="12"/>
  <c r="V147" i="12"/>
  <c r="N152" i="6" l="1"/>
  <c r="N149" i="12"/>
  <c r="AM152" i="6"/>
  <c r="AP152" i="6"/>
  <c r="BE152" i="6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D154" i="6"/>
  <c r="D149" i="12"/>
  <c r="E149" i="6"/>
  <c r="AM151" i="5"/>
  <c r="I151" i="12"/>
  <c r="L151" i="5"/>
  <c r="Z151" i="5"/>
  <c r="X148" i="12"/>
  <c r="W148" i="12"/>
  <c r="A153" i="6"/>
  <c r="N153" i="6" s="1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K153" i="12"/>
  <c r="Y149" i="12"/>
  <c r="Y150" i="12" l="1"/>
  <c r="W150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H154" i="6"/>
  <c r="T154" i="5" s="1"/>
  <c r="K156" i="5"/>
  <c r="H156" i="5"/>
  <c r="F156" i="5"/>
  <c r="G156" i="5"/>
  <c r="AE156" i="5"/>
  <c r="E156" i="5"/>
  <c r="B156" i="5"/>
  <c r="C157" i="5" s="1"/>
  <c r="N156" i="5"/>
  <c r="D156" i="5"/>
  <c r="B156" i="12" s="1"/>
  <c r="W156" i="5"/>
  <c r="H156" i="12" s="1"/>
  <c r="J156" i="5"/>
  <c r="B156" i="6"/>
  <c r="A156" i="12"/>
  <c r="AD156" i="5"/>
  <c r="D155" i="6"/>
  <c r="D150" i="12"/>
  <c r="E150" i="6"/>
  <c r="X149" i="12"/>
  <c r="W149" i="12"/>
  <c r="A154" i="6"/>
  <c r="N154" i="6" s="1"/>
  <c r="I152" i="12"/>
  <c r="L152" i="5"/>
  <c r="AM152" i="5"/>
  <c r="Z152" i="5"/>
  <c r="C151" i="6"/>
  <c r="O151" i="5"/>
  <c r="J155" i="12"/>
  <c r="L155" i="12"/>
  <c r="G153" i="12"/>
  <c r="X153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C152" i="12"/>
  <c r="M152" i="12"/>
  <c r="O152" i="12"/>
  <c r="AO152" i="12"/>
  <c r="V149" i="12"/>
  <c r="T149" i="12"/>
  <c r="U149" i="12"/>
  <c r="L156" i="12"/>
  <c r="J156" i="12"/>
  <c r="H157" i="5"/>
  <c r="G157" i="5"/>
  <c r="N157" i="5"/>
  <c r="C158" i="5"/>
  <c r="B157" i="5"/>
  <c r="A157" i="12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H155" i="6"/>
  <c r="T155" i="5" s="1"/>
  <c r="G154" i="12"/>
  <c r="X154" i="5"/>
  <c r="AV154" i="6" l="1"/>
  <c r="AP154" i="6"/>
  <c r="A156" i="6"/>
  <c r="N156" i="6" s="1"/>
  <c r="X151" i="12"/>
  <c r="BD154" i="6"/>
  <c r="AK154" i="6"/>
  <c r="AI154" i="6"/>
  <c r="BG154" i="6"/>
  <c r="AZ154" i="6"/>
  <c r="N155" i="6"/>
  <c r="BA154" i="6"/>
  <c r="AG154" i="6"/>
  <c r="AX154" i="6"/>
  <c r="BF154" i="6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F157" i="6"/>
  <c r="E157" i="12"/>
  <c r="N152" i="12"/>
  <c r="AA153" i="5"/>
  <c r="AB153" i="5"/>
  <c r="C153" i="12"/>
  <c r="AO153" i="12"/>
  <c r="M153" i="12"/>
  <c r="O153" i="12"/>
  <c r="C153" i="6"/>
  <c r="O153" i="5"/>
  <c r="M156" i="6" l="1"/>
  <c r="BD156" i="6" s="1"/>
  <c r="W152" i="12"/>
  <c r="U152" i="12" s="1"/>
  <c r="N153" i="12"/>
  <c r="D153" i="12"/>
  <c r="E153" i="6"/>
  <c r="Y153" i="12"/>
  <c r="C154" i="6"/>
  <c r="O154" i="5"/>
  <c r="H157" i="6"/>
  <c r="T157" i="5" s="1"/>
  <c r="G157" i="6"/>
  <c r="L158" i="12"/>
  <c r="J158" i="12"/>
  <c r="D158" i="6"/>
  <c r="G156" i="12"/>
  <c r="X156" i="5"/>
  <c r="L155" i="5"/>
  <c r="I155" i="12"/>
  <c r="AM155" i="5"/>
  <c r="Z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J159" i="5"/>
  <c r="B159" i="6"/>
  <c r="B159" i="5"/>
  <c r="A159" i="12"/>
  <c r="K159" i="5"/>
  <c r="AD159" i="5"/>
  <c r="W159" i="5"/>
  <c r="H159" i="12" s="1"/>
  <c r="E159" i="5"/>
  <c r="F159" i="5"/>
  <c r="A157" i="6"/>
  <c r="N157" i="6" s="1"/>
  <c r="BF156" i="6" l="1"/>
  <c r="BB156" i="6"/>
  <c r="AJ156" i="6"/>
  <c r="AT156" i="6"/>
  <c r="AU156" i="6"/>
  <c r="AI156" i="6"/>
  <c r="AG156" i="6"/>
  <c r="AE156" i="6"/>
  <c r="AV156" i="6"/>
  <c r="AB156" i="6"/>
  <c r="AK156" i="6"/>
  <c r="AZ156" i="6"/>
  <c r="AY156" i="6"/>
  <c r="AP156" i="6"/>
  <c r="AS156" i="6"/>
  <c r="AH156" i="6"/>
  <c r="AF156" i="6"/>
  <c r="AQ156" i="6"/>
  <c r="AD156" i="6"/>
  <c r="BE156" i="6"/>
  <c r="BC156" i="6"/>
  <c r="BA156" i="6"/>
  <c r="AC156" i="6"/>
  <c r="AM156" i="6"/>
  <c r="AN156" i="6"/>
  <c r="AO156" i="6"/>
  <c r="AR156" i="6"/>
  <c r="BG156" i="6"/>
  <c r="AX156" i="6"/>
  <c r="V152" i="12"/>
  <c r="T152" i="12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B160" i="6"/>
  <c r="G160" i="5"/>
  <c r="C155" i="12"/>
  <c r="O155" i="12"/>
  <c r="M155" i="12"/>
  <c r="AO155" i="12"/>
  <c r="L156" i="5"/>
  <c r="AM156" i="5"/>
  <c r="I156" i="12"/>
  <c r="Z156" i="5"/>
  <c r="K158" i="12"/>
  <c r="J159" i="12"/>
  <c r="L159" i="12"/>
  <c r="D159" i="6"/>
  <c r="N154" i="12"/>
  <c r="AB155" i="5"/>
  <c r="AA155" i="5"/>
  <c r="C155" i="6"/>
  <c r="O155" i="5"/>
  <c r="H158" i="6"/>
  <c r="T158" i="5" s="1"/>
  <c r="A158" i="6"/>
  <c r="N158" i="6" s="1"/>
  <c r="G157" i="12"/>
  <c r="E154" i="6"/>
  <c r="D154" i="12"/>
  <c r="X153" i="12"/>
  <c r="W153" i="12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C162" i="5"/>
  <c r="G161" i="5"/>
  <c r="AD161" i="5"/>
  <c r="D161" i="5"/>
  <c r="B161" i="12" s="1"/>
  <c r="B161" i="6"/>
  <c r="T153" i="12"/>
  <c r="U153" i="12"/>
  <c r="V153" i="12"/>
  <c r="M158" i="6"/>
  <c r="H159" i="6"/>
  <c r="T159" i="5" s="1"/>
  <c r="K159" i="12"/>
  <c r="AA156" i="5"/>
  <c r="AB156" i="5"/>
  <c r="C156" i="12"/>
  <c r="AO156" i="12"/>
  <c r="O156" i="12"/>
  <c r="M156" i="12"/>
  <c r="C156" i="6"/>
  <c r="O156" i="5"/>
  <c r="J160" i="12"/>
  <c r="L160" i="12"/>
  <c r="D160" i="6"/>
  <c r="T154" i="12" l="1"/>
  <c r="V154" i="12"/>
  <c r="X155" i="12"/>
  <c r="M159" i="6"/>
  <c r="AP159" i="6" s="1"/>
  <c r="N159" i="6"/>
  <c r="K160" i="12"/>
  <c r="N156" i="12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J161" i="12"/>
  <c r="L161" i="12"/>
  <c r="AM158" i="5"/>
  <c r="I158" i="12"/>
  <c r="L158" i="5"/>
  <c r="Z158" i="5"/>
  <c r="H160" i="6"/>
  <c r="T160" i="5" s="1"/>
  <c r="D156" i="12"/>
  <c r="E156" i="6"/>
  <c r="Y156" i="12"/>
  <c r="AF158" i="6"/>
  <c r="AK158" i="6"/>
  <c r="AE158" i="6"/>
  <c r="AC158" i="6"/>
  <c r="K162" i="5"/>
  <c r="N162" i="5"/>
  <c r="C163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D161" i="6"/>
  <c r="A160" i="6"/>
  <c r="M160" i="6" s="1"/>
  <c r="U155" i="12"/>
  <c r="V155" i="12"/>
  <c r="T155" i="12"/>
  <c r="AN159" i="6" l="1"/>
  <c r="AV159" i="6"/>
  <c r="AI159" i="6"/>
  <c r="AH159" i="6"/>
  <c r="AC159" i="6"/>
  <c r="AX159" i="6"/>
  <c r="BF159" i="6"/>
  <c r="BD159" i="6"/>
  <c r="BC159" i="6"/>
  <c r="AR159" i="6"/>
  <c r="AZ159" i="6"/>
  <c r="AU159" i="6"/>
  <c r="BA159" i="6"/>
  <c r="AS159" i="6"/>
  <c r="BE159" i="6"/>
  <c r="AG159" i="6"/>
  <c r="AM159" i="6"/>
  <c r="AB159" i="6"/>
  <c r="AY159" i="6"/>
  <c r="AF159" i="6"/>
  <c r="AT159" i="6"/>
  <c r="AD159" i="6"/>
  <c r="AE159" i="6"/>
  <c r="BG159" i="6"/>
  <c r="AK159" i="6"/>
  <c r="AO159" i="6"/>
  <c r="AQ159" i="6"/>
  <c r="AJ159" i="6"/>
  <c r="BB159" i="6"/>
  <c r="K161" i="12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H161" i="6"/>
  <c r="T161" i="5" s="1"/>
  <c r="J162" i="12"/>
  <c r="L162" i="12"/>
  <c r="F163" i="5"/>
  <c r="C164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X156" i="12"/>
  <c r="W156" i="12"/>
  <c r="N160" i="6"/>
  <c r="G160" i="12"/>
  <c r="X160" i="5"/>
  <c r="C158" i="6"/>
  <c r="AM159" i="5"/>
  <c r="I159" i="12"/>
  <c r="L159" i="5"/>
  <c r="Z159" i="5"/>
  <c r="D162" i="6"/>
  <c r="A161" i="6"/>
  <c r="N161" i="6" s="1"/>
  <c r="AK160" i="6"/>
  <c r="AC160" i="6"/>
  <c r="AI160" i="6"/>
  <c r="AF160" i="6"/>
  <c r="AB160" i="6"/>
  <c r="AB158" i="5"/>
  <c r="C158" i="12"/>
  <c r="AO158" i="12"/>
  <c r="M158" i="12"/>
  <c r="O158" i="12"/>
  <c r="A162" i="6" l="1"/>
  <c r="N162" i="6" s="1"/>
  <c r="M161" i="6"/>
  <c r="AJ161" i="6" s="1"/>
  <c r="N158" i="12"/>
  <c r="Y158" i="12"/>
  <c r="C159" i="6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H164" i="5"/>
  <c r="AE164" i="5"/>
  <c r="G161" i="12"/>
  <c r="X161" i="5"/>
  <c r="H162" i="6"/>
  <c r="T162" i="5" s="1"/>
  <c r="AB159" i="5"/>
  <c r="C159" i="12"/>
  <c r="O159" i="12"/>
  <c r="M159" i="12"/>
  <c r="AO159" i="12"/>
  <c r="L160" i="5"/>
  <c r="AM160" i="5"/>
  <c r="I160" i="12"/>
  <c r="Z160" i="5"/>
  <c r="K162" i="12"/>
  <c r="Y159" i="12" l="1"/>
  <c r="W159" i="12" s="1"/>
  <c r="AU161" i="6"/>
  <c r="AM161" i="6"/>
  <c r="AR161" i="6"/>
  <c r="AV161" i="6"/>
  <c r="AK161" i="6"/>
  <c r="M162" i="6"/>
  <c r="AQ162" i="6" s="1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B160" i="5"/>
  <c r="AM161" i="5"/>
  <c r="I161" i="12"/>
  <c r="L161" i="5"/>
  <c r="Z161" i="5"/>
  <c r="B165" i="6"/>
  <c r="G165" i="5"/>
  <c r="W165" i="5"/>
  <c r="H165" i="12" s="1"/>
  <c r="N165" i="5"/>
  <c r="H165" i="5"/>
  <c r="AD165" i="5"/>
  <c r="E165" i="5"/>
  <c r="C166" i="5"/>
  <c r="AE165" i="5"/>
  <c r="K165" i="5"/>
  <c r="J165" i="5"/>
  <c r="F165" i="5"/>
  <c r="D165" i="5"/>
  <c r="B165" i="12" s="1"/>
  <c r="B165" i="5"/>
  <c r="A165" i="12"/>
  <c r="H163" i="6"/>
  <c r="T163" i="5" s="1"/>
  <c r="A163" i="6"/>
  <c r="C160" i="12"/>
  <c r="M160" i="12"/>
  <c r="O160" i="12"/>
  <c r="AO160" i="12"/>
  <c r="C160" i="6"/>
  <c r="N159" i="12"/>
  <c r="G162" i="12"/>
  <c r="X162" i="5"/>
  <c r="D164" i="6"/>
  <c r="L164" i="12"/>
  <c r="J164" i="12"/>
  <c r="K163" i="12"/>
  <c r="W158" i="12"/>
  <c r="X158" i="12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164" i="6"/>
  <c r="N164" i="6" s="1"/>
  <c r="K164" i="12"/>
  <c r="U158" i="12"/>
  <c r="V158" i="12"/>
  <c r="T158" i="12"/>
  <c r="V159" i="12"/>
  <c r="T159" i="12"/>
  <c r="U159" i="12"/>
  <c r="M163" i="6"/>
  <c r="AF163" i="6" s="1"/>
  <c r="G163" i="12"/>
  <c r="X163" i="5"/>
  <c r="AB161" i="5"/>
  <c r="C161" i="12"/>
  <c r="AO161" i="12"/>
  <c r="M161" i="12"/>
  <c r="O161" i="12"/>
  <c r="H164" i="6"/>
  <c r="T164" i="5" s="1"/>
  <c r="AM162" i="5"/>
  <c r="I162" i="12"/>
  <c r="L162" i="5"/>
  <c r="Z162" i="5"/>
  <c r="N160" i="12"/>
  <c r="N163" i="6"/>
  <c r="J165" i="12"/>
  <c r="L165" i="12"/>
  <c r="E166" i="5"/>
  <c r="B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W160" i="12" l="1"/>
  <c r="T160" i="12" s="1"/>
  <c r="M164" i="6"/>
  <c r="AR164" i="6" s="1"/>
  <c r="AH163" i="6"/>
  <c r="AI163" i="6"/>
  <c r="K165" i="12"/>
  <c r="AG163" i="6"/>
  <c r="AK163" i="6"/>
  <c r="N161" i="12"/>
  <c r="H165" i="6"/>
  <c r="T165" i="5" s="1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C162" i="6"/>
  <c r="O162" i="5"/>
  <c r="G164" i="12"/>
  <c r="X164" i="5"/>
  <c r="I163" i="12"/>
  <c r="L163" i="5"/>
  <c r="AM163" i="5"/>
  <c r="Z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N166" i="6" s="1"/>
  <c r="H166" i="6"/>
  <c r="T166" i="5" s="1"/>
  <c r="F168" i="5"/>
  <c r="G168" i="5"/>
  <c r="A168" i="12"/>
  <c r="E168" i="5"/>
  <c r="W168" i="5"/>
  <c r="H168" i="12" s="1"/>
  <c r="B168" i="6"/>
  <c r="AD168" i="5"/>
  <c r="B168" i="5"/>
  <c r="C169" i="5" s="1"/>
  <c r="K168" i="5"/>
  <c r="D168" i="5"/>
  <c r="B168" i="12" s="1"/>
  <c r="J168" i="5"/>
  <c r="H168" i="5"/>
  <c r="N168" i="5"/>
  <c r="AE168" i="5"/>
  <c r="D167" i="6"/>
  <c r="AC165" i="6"/>
  <c r="AB165" i="6"/>
  <c r="AH165" i="6"/>
  <c r="N165" i="6"/>
  <c r="AG165" i="6"/>
  <c r="AD165" i="6"/>
  <c r="N163" i="12" l="1"/>
  <c r="W162" i="12"/>
  <c r="V162" i="12" s="1"/>
  <c r="A167" i="6"/>
  <c r="N167" i="6" s="1"/>
  <c r="M166" i="6"/>
  <c r="AO166" i="6" s="1"/>
  <c r="K167" i="12"/>
  <c r="G166" i="12"/>
  <c r="X166" i="5"/>
  <c r="I165" i="12"/>
  <c r="AM165" i="5"/>
  <c r="L165" i="5"/>
  <c r="Z165" i="5"/>
  <c r="T161" i="12"/>
  <c r="V161" i="12"/>
  <c r="U161" i="12"/>
  <c r="AB164" i="5"/>
  <c r="AA164" i="5"/>
  <c r="C164" i="6"/>
  <c r="O164" i="5"/>
  <c r="H167" i="6"/>
  <c r="T167" i="5" s="1"/>
  <c r="D168" i="6"/>
  <c r="H169" i="5"/>
  <c r="B169" i="5"/>
  <c r="W169" i="5"/>
  <c r="H169" i="12" s="1"/>
  <c r="N169" i="5"/>
  <c r="A169" i="12"/>
  <c r="AD169" i="5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K168" i="12"/>
  <c r="N164" i="12"/>
  <c r="X163" i="12"/>
  <c r="W163" i="12"/>
  <c r="E169" i="12"/>
  <c r="F169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C171" i="5"/>
  <c r="D169" i="6"/>
  <c r="D164" i="12"/>
  <c r="E164" i="6"/>
  <c r="I166" i="12"/>
  <c r="AM166" i="5"/>
  <c r="L166" i="5"/>
  <c r="Z166" i="5"/>
  <c r="A168" i="6"/>
  <c r="M168" i="6" s="1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N168" i="6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J170" i="12"/>
  <c r="L170" i="12"/>
  <c r="X164" i="12"/>
  <c r="W164" i="12"/>
  <c r="AM167" i="5"/>
  <c r="I167" i="12"/>
  <c r="L167" i="5"/>
  <c r="Z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E171" i="5"/>
  <c r="D170" i="6"/>
  <c r="A169" i="6"/>
  <c r="M169" i="6" s="1"/>
  <c r="E165" i="6"/>
  <c r="D165" i="12"/>
  <c r="AH168" i="6"/>
  <c r="AF168" i="6"/>
  <c r="AC168" i="6"/>
  <c r="AI168" i="6"/>
  <c r="T163" i="12"/>
  <c r="U163" i="12"/>
  <c r="V163" i="12"/>
  <c r="W165" i="12" l="1"/>
  <c r="T165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N169" i="6"/>
  <c r="AD169" i="6"/>
  <c r="N166" i="12"/>
  <c r="H170" i="6"/>
  <c r="T170" i="5" s="1"/>
  <c r="L171" i="12"/>
  <c r="J171" i="12"/>
  <c r="J172" i="5"/>
  <c r="F172" i="5"/>
  <c r="B172" i="6"/>
  <c r="W172" i="5"/>
  <c r="H172" i="12" s="1"/>
  <c r="H172" i="5"/>
  <c r="G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B167" i="5"/>
  <c r="AA167" i="5"/>
  <c r="C167" i="12"/>
  <c r="O167" i="12"/>
  <c r="AO167" i="12"/>
  <c r="M167" i="12"/>
  <c r="T164" i="12"/>
  <c r="U164" i="12"/>
  <c r="V164" i="12"/>
  <c r="D171" i="6"/>
  <c r="AE169" i="6"/>
  <c r="AN169" i="6"/>
  <c r="AS169" i="6"/>
  <c r="AV169" i="6"/>
  <c r="AJ169" i="6"/>
  <c r="AG169" i="6"/>
  <c r="BF169" i="6"/>
  <c r="AY169" i="6"/>
  <c r="G169" i="12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N170" i="6" l="1"/>
  <c r="U165" i="12"/>
  <c r="V165" i="12"/>
  <c r="AF170" i="6"/>
  <c r="BF170" i="6"/>
  <c r="AP170" i="6"/>
  <c r="AR170" i="6"/>
  <c r="AK170" i="6"/>
  <c r="AH170" i="6"/>
  <c r="BG170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N168" i="12" l="1"/>
  <c r="Y168" i="12"/>
  <c r="X168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H172" i="6"/>
  <c r="T172" i="5" s="1"/>
  <c r="I170" i="12"/>
  <c r="AM170" i="5"/>
  <c r="L170" i="5"/>
  <c r="Z170" i="5"/>
  <c r="A172" i="6"/>
  <c r="M172" i="6" s="1"/>
  <c r="J173" i="12"/>
  <c r="L173" i="12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E168" i="6"/>
  <c r="D168" i="12"/>
  <c r="W167" i="12"/>
  <c r="X167" i="12"/>
  <c r="U166" i="12"/>
  <c r="T166" i="12"/>
  <c r="V166" i="12"/>
  <c r="K172" i="12"/>
  <c r="G171" i="12"/>
  <c r="X171" i="5"/>
  <c r="N171" i="6"/>
  <c r="AG171" i="6"/>
  <c r="AB171" i="6"/>
  <c r="AJ171" i="6"/>
  <c r="W168" i="12" l="1"/>
  <c r="U168" i="12" s="1"/>
  <c r="N172" i="6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D174" i="6"/>
  <c r="H173" i="6"/>
  <c r="T173" i="5" s="1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K173" i="12"/>
  <c r="AB170" i="5"/>
  <c r="C170" i="6"/>
  <c r="C170" i="12"/>
  <c r="O170" i="12"/>
  <c r="AO170" i="12"/>
  <c r="M170" i="12"/>
  <c r="G172" i="12"/>
  <c r="X172" i="5"/>
  <c r="AE172" i="6"/>
  <c r="AC172" i="6"/>
  <c r="T168" i="12" l="1"/>
  <c r="V168" i="12"/>
  <c r="N173" i="6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N170" i="12"/>
  <c r="B176" i="5"/>
  <c r="C177" i="5" s="1"/>
  <c r="AD176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J175" i="12"/>
  <c r="L175" i="12"/>
  <c r="G173" i="12"/>
  <c r="X173" i="5"/>
  <c r="H174" i="6"/>
  <c r="T174" i="5" s="1"/>
  <c r="AB171" i="5"/>
  <c r="C171" i="12"/>
  <c r="M171" i="12"/>
  <c r="AO171" i="12"/>
  <c r="O171" i="12"/>
  <c r="Y170" i="12"/>
  <c r="A174" i="6"/>
  <c r="N174" i="6" s="1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N171" i="12" l="1"/>
  <c r="A175" i="6"/>
  <c r="N175" i="6" s="1"/>
  <c r="K175" i="12"/>
  <c r="Y171" i="12"/>
  <c r="W171" i="12" s="1"/>
  <c r="M174" i="6"/>
  <c r="BD174" i="6" s="1"/>
  <c r="H175" i="6"/>
  <c r="T175" i="5" s="1"/>
  <c r="W170" i="12"/>
  <c r="X170" i="12"/>
  <c r="L173" i="5"/>
  <c r="AM173" i="5"/>
  <c r="I173" i="12"/>
  <c r="Z173" i="5"/>
  <c r="AE177" i="5"/>
  <c r="A177" i="12"/>
  <c r="G177" i="5"/>
  <c r="F177" i="5"/>
  <c r="B177" i="5"/>
  <c r="B177" i="6"/>
  <c r="W177" i="5"/>
  <c r="H177" i="12" s="1"/>
  <c r="AD177" i="5"/>
  <c r="H177" i="5"/>
  <c r="N177" i="5"/>
  <c r="E177" i="5"/>
  <c r="C178" i="5"/>
  <c r="AB172" i="5"/>
  <c r="G174" i="12"/>
  <c r="X174" i="5"/>
  <c r="L176" i="12"/>
  <c r="J176" i="12"/>
  <c r="D176" i="6"/>
  <c r="C172" i="6"/>
  <c r="C172" i="12"/>
  <c r="O172" i="12"/>
  <c r="AO172" i="12"/>
  <c r="M172" i="12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H176" i="6"/>
  <c r="T176" i="5" s="1"/>
  <c r="L174" i="5"/>
  <c r="AM174" i="5"/>
  <c r="I174" i="12"/>
  <c r="Z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A178" i="12"/>
  <c r="C179" i="5"/>
  <c r="F178" i="5"/>
  <c r="D177" i="6"/>
  <c r="A176" i="6"/>
  <c r="N176" i="6" s="1"/>
  <c r="C173" i="12"/>
  <c r="AO173" i="12"/>
  <c r="O173" i="12"/>
  <c r="M173" i="12"/>
  <c r="C173" i="6"/>
  <c r="V171" i="12"/>
  <c r="T171" i="12"/>
  <c r="U171" i="12"/>
  <c r="G175" i="12"/>
  <c r="X175" i="5"/>
  <c r="N172" i="12"/>
  <c r="K176" i="12"/>
  <c r="E177" i="12"/>
  <c r="F177" i="6"/>
  <c r="AB173" i="5"/>
  <c r="T170" i="12"/>
  <c r="V170" i="12"/>
  <c r="U170" i="12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Y173" i="12"/>
  <c r="X173" i="12" s="1"/>
  <c r="L178" i="12"/>
  <c r="J178" i="12"/>
  <c r="AB174" i="5"/>
  <c r="G176" i="12"/>
  <c r="X176" i="5"/>
  <c r="A177" i="6"/>
  <c r="N177" i="6" s="1"/>
  <c r="AM175" i="5"/>
  <c r="I175" i="12"/>
  <c r="L175" i="5"/>
  <c r="Z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F179" i="5"/>
  <c r="AE179" i="5"/>
  <c r="AD179" i="5"/>
  <c r="D179" i="5"/>
  <c r="B179" i="12" s="1"/>
  <c r="H179" i="5"/>
  <c r="E179" i="5"/>
  <c r="D178" i="6"/>
  <c r="C174" i="12"/>
  <c r="M174" i="12"/>
  <c r="AO174" i="12"/>
  <c r="O174" i="12"/>
  <c r="C174" i="6"/>
  <c r="M176" i="6"/>
  <c r="N174" i="12" l="1"/>
  <c r="M177" i="6"/>
  <c r="AM177" i="6" s="1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D179" i="6"/>
  <c r="A180" i="12"/>
  <c r="K180" i="5"/>
  <c r="J180" i="5"/>
  <c r="H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C175" i="12"/>
  <c r="M175" i="12"/>
  <c r="O175" i="12"/>
  <c r="AO175" i="12"/>
  <c r="AG176" i="6"/>
  <c r="I176" i="12"/>
  <c r="AM176" i="5"/>
  <c r="L176" i="5"/>
  <c r="Z176" i="5"/>
  <c r="A178" i="6"/>
  <c r="M178" i="6" s="1"/>
  <c r="AK176" i="6"/>
  <c r="AE176" i="6"/>
  <c r="J179" i="12"/>
  <c r="L179" i="12"/>
  <c r="G177" i="12"/>
  <c r="C175" i="6"/>
  <c r="AJ176" i="6"/>
  <c r="AB176" i="6"/>
  <c r="K178" i="12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AB176" i="5"/>
  <c r="C176" i="6"/>
  <c r="C176" i="12"/>
  <c r="M176" i="12"/>
  <c r="O176" i="12"/>
  <c r="AO176" i="12"/>
  <c r="A179" i="6"/>
  <c r="M179" i="6" s="1"/>
  <c r="BF179" i="6" s="1"/>
  <c r="H179" i="6"/>
  <c r="T179" i="5" s="1"/>
  <c r="G178" i="12"/>
  <c r="X178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W181" i="5"/>
  <c r="H181" i="12" s="1"/>
  <c r="F181" i="5"/>
  <c r="D180" i="6"/>
  <c r="J180" i="12"/>
  <c r="L180" i="12"/>
  <c r="AI178" i="6"/>
  <c r="AJ178" i="6"/>
  <c r="N178" i="6"/>
  <c r="AE178" i="6"/>
  <c r="AK178" i="6"/>
  <c r="T174" i="12" l="1"/>
  <c r="N179" i="6"/>
  <c r="U174" i="12"/>
  <c r="A180" i="6"/>
  <c r="M180" i="6" s="1"/>
  <c r="W175" i="12"/>
  <c r="V175" i="12" s="1"/>
  <c r="AS179" i="6"/>
  <c r="BG179" i="6"/>
  <c r="AB179" i="6"/>
  <c r="AY179" i="6"/>
  <c r="BB179" i="6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J181" i="12"/>
  <c r="L181" i="12"/>
  <c r="D181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L178" i="5"/>
  <c r="AM178" i="5"/>
  <c r="I178" i="12"/>
  <c r="Z178" i="5"/>
  <c r="G179" i="12"/>
  <c r="X179" i="5"/>
  <c r="AD179" i="6"/>
  <c r="AE179" i="6"/>
  <c r="AF179" i="6"/>
  <c r="N176" i="12"/>
  <c r="T175" i="12" l="1"/>
  <c r="N180" i="6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AM180" i="6"/>
  <c r="AN180" i="6"/>
  <c r="AC180" i="6"/>
  <c r="AF180" i="6"/>
  <c r="AI180" i="6"/>
  <c r="K181" i="12"/>
  <c r="AB178" i="5"/>
  <c r="C178" i="12"/>
  <c r="M178" i="12"/>
  <c r="AO178" i="12"/>
  <c r="O178" i="12"/>
  <c r="C178" i="6"/>
  <c r="C184" i="5"/>
  <c r="G183" i="5"/>
  <c r="K183" i="5"/>
  <c r="B183" i="5"/>
  <c r="W183" i="5"/>
  <c r="H183" i="12" s="1"/>
  <c r="E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H181" i="6"/>
  <c r="T181" i="5" s="1"/>
  <c r="I179" i="12"/>
  <c r="L179" i="5"/>
  <c r="AM179" i="5"/>
  <c r="Z179" i="5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T176" i="12" l="1"/>
  <c r="N178" i="12"/>
  <c r="V176" i="12"/>
  <c r="A182" i="6"/>
  <c r="N182" i="6" s="1"/>
  <c r="K182" i="12"/>
  <c r="AB179" i="5"/>
  <c r="C179" i="6"/>
  <c r="M181" i="6"/>
  <c r="N181" i="6"/>
  <c r="D183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L183" i="12"/>
  <c r="J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C185" i="5"/>
  <c r="E184" i="5"/>
  <c r="B184" i="5"/>
  <c r="Y178" i="12"/>
  <c r="M182" i="6" l="1"/>
  <c r="AP182" i="6" s="1"/>
  <c r="K183" i="12"/>
  <c r="J184" i="12"/>
  <c r="L184" i="12"/>
  <c r="D184" i="6"/>
  <c r="C180" i="6"/>
  <c r="H183" i="6"/>
  <c r="T183" i="5" s="1"/>
  <c r="X178" i="12"/>
  <c r="W178" i="12"/>
  <c r="AE185" i="5"/>
  <c r="B185" i="5"/>
  <c r="H185" i="5"/>
  <c r="F185" i="5"/>
  <c r="A185" i="12"/>
  <c r="J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B182" i="6" l="1"/>
  <c r="AH182" i="6"/>
  <c r="AV182" i="6"/>
  <c r="BF182" i="6"/>
  <c r="AE182" i="6"/>
  <c r="AY182" i="6"/>
  <c r="AJ182" i="6"/>
  <c r="BG182" i="6"/>
  <c r="AK182" i="6"/>
  <c r="BC182" i="6"/>
  <c r="BE182" i="6"/>
  <c r="AU182" i="6"/>
  <c r="AZ182" i="6"/>
  <c r="AQ182" i="6"/>
  <c r="AG182" i="6"/>
  <c r="AT182" i="6"/>
  <c r="AC182" i="6"/>
  <c r="AI182" i="6"/>
  <c r="AD182" i="6"/>
  <c r="BB182" i="6"/>
  <c r="AO182" i="6"/>
  <c r="BD182" i="6"/>
  <c r="BA182" i="6"/>
  <c r="AX182" i="6"/>
  <c r="AN182" i="6"/>
  <c r="AS182" i="6"/>
  <c r="AF182" i="6"/>
  <c r="AM182" i="6"/>
  <c r="AR182" i="6"/>
  <c r="N180" i="12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B181" i="5"/>
  <c r="C181" i="6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N186" i="5"/>
  <c r="W186" i="5"/>
  <c r="H186" i="12" s="1"/>
  <c r="K186" i="5"/>
  <c r="B186" i="6"/>
  <c r="T178" i="12"/>
  <c r="U178" i="12"/>
  <c r="V178" i="12"/>
  <c r="N183" i="6"/>
  <c r="H184" i="6"/>
  <c r="T184" i="5" s="1"/>
  <c r="AM182" i="5"/>
  <c r="L182" i="5"/>
  <c r="I182" i="12"/>
  <c r="Z182" i="5"/>
  <c r="W179" i="12"/>
  <c r="X179" i="12"/>
  <c r="C181" i="12"/>
  <c r="AO181" i="12"/>
  <c r="M181" i="12"/>
  <c r="O181" i="12"/>
  <c r="A184" i="6"/>
  <c r="D185" i="6"/>
  <c r="L185" i="12"/>
  <c r="J185" i="12"/>
  <c r="G183" i="12"/>
  <c r="X183" i="5"/>
  <c r="X180" i="12" l="1"/>
  <c r="A185" i="6"/>
  <c r="M185" i="6" s="1"/>
  <c r="AX185" i="6" s="1"/>
  <c r="T179" i="12"/>
  <c r="V179" i="12"/>
  <c r="U179" i="12"/>
  <c r="AB182" i="5"/>
  <c r="C182" i="12"/>
  <c r="AO182" i="12"/>
  <c r="O182" i="12"/>
  <c r="M182" i="12"/>
  <c r="M184" i="6"/>
  <c r="AF184" i="6" s="1"/>
  <c r="D186" i="6"/>
  <c r="AM183" i="5"/>
  <c r="I183" i="12"/>
  <c r="L183" i="5"/>
  <c r="Z183" i="5"/>
  <c r="K185" i="12"/>
  <c r="H185" i="6"/>
  <c r="T185" i="5" s="1"/>
  <c r="N181" i="12"/>
  <c r="Y181" i="12"/>
  <c r="C182" i="6"/>
  <c r="G184" i="12"/>
  <c r="X184" i="5"/>
  <c r="N184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AD187" i="5"/>
  <c r="AE187" i="5"/>
  <c r="G187" i="5"/>
  <c r="N187" i="5"/>
  <c r="C188" i="5"/>
  <c r="T180" i="12"/>
  <c r="U180" i="12"/>
  <c r="V180" i="12"/>
  <c r="N185" i="6" l="1"/>
  <c r="A186" i="6"/>
  <c r="N186" i="6" s="1"/>
  <c r="AK184" i="6"/>
  <c r="N182" i="12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L187" i="12"/>
  <c r="J187" i="12"/>
  <c r="AG184" i="6"/>
  <c r="L184" i="5"/>
  <c r="I184" i="12"/>
  <c r="AM184" i="5"/>
  <c r="Z184" i="5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H186" i="6"/>
  <c r="T186" i="5" s="1"/>
  <c r="Y182" i="12"/>
  <c r="M186" i="6" l="1"/>
  <c r="AN186" i="6" s="1"/>
  <c r="A187" i="6"/>
  <c r="M187" i="6" s="1"/>
  <c r="AU187" i="6" s="1"/>
  <c r="N183" i="12"/>
  <c r="E183" i="6"/>
  <c r="D183" i="12"/>
  <c r="AA184" i="5"/>
  <c r="AB184" i="5"/>
  <c r="C184" i="6"/>
  <c r="O184" i="5"/>
  <c r="L188" i="12"/>
  <c r="J188" i="12"/>
  <c r="X182" i="12"/>
  <c r="W182" i="12"/>
  <c r="G186" i="12"/>
  <c r="X186" i="5"/>
  <c r="V181" i="12"/>
  <c r="U181" i="12"/>
  <c r="T181" i="12"/>
  <c r="C184" i="12"/>
  <c r="O184" i="12"/>
  <c r="M184" i="12"/>
  <c r="AO184" i="12"/>
  <c r="K187" i="12"/>
  <c r="H187" i="6"/>
  <c r="T187" i="5" s="1"/>
  <c r="Y183" i="12"/>
  <c r="I185" i="12"/>
  <c r="AM185" i="5"/>
  <c r="L185" i="5"/>
  <c r="Z185" i="5"/>
  <c r="D188" i="6"/>
  <c r="F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J186" i="6" l="1"/>
  <c r="AH186" i="6"/>
  <c r="AP186" i="6"/>
  <c r="AQ186" i="6"/>
  <c r="AF186" i="6"/>
  <c r="AS186" i="6"/>
  <c r="BF186" i="6"/>
  <c r="AI186" i="6"/>
  <c r="AX186" i="6"/>
  <c r="AU186" i="6"/>
  <c r="BB186" i="6"/>
  <c r="AY186" i="6"/>
  <c r="BE186" i="6"/>
  <c r="BA186" i="6"/>
  <c r="AB186" i="6"/>
  <c r="AO186" i="6"/>
  <c r="AE186" i="6"/>
  <c r="AM186" i="6"/>
  <c r="AV186" i="6"/>
  <c r="AG186" i="6"/>
  <c r="BC186" i="6"/>
  <c r="BG186" i="6"/>
  <c r="AT186" i="6"/>
  <c r="BD186" i="6"/>
  <c r="AC186" i="6"/>
  <c r="AR186" i="6"/>
  <c r="AK186" i="6"/>
  <c r="AD186" i="6"/>
  <c r="AZ186" i="6"/>
  <c r="N187" i="6"/>
  <c r="Y184" i="12"/>
  <c r="W184" i="12" s="1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A188" i="6"/>
  <c r="N188" i="6" s="1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E184" i="6"/>
  <c r="D184" i="12"/>
  <c r="X184" i="12" l="1"/>
  <c r="N185" i="12"/>
  <c r="A189" i="6"/>
  <c r="M189" i="6" s="1"/>
  <c r="AY189" i="6" s="1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K191" i="5"/>
  <c r="L190" i="12"/>
  <c r="J190" i="12"/>
  <c r="D190" i="6"/>
  <c r="L187" i="5"/>
  <c r="AM187" i="5"/>
  <c r="I187" i="12"/>
  <c r="Z187" i="5"/>
  <c r="V183" i="12"/>
  <c r="U183" i="12"/>
  <c r="T183" i="12"/>
  <c r="M188" i="6"/>
  <c r="AG188" i="6" s="1"/>
  <c r="K189" i="12"/>
  <c r="H189" i="6"/>
  <c r="T189" i="5" s="1"/>
  <c r="N189" i="6" l="1"/>
  <c r="N186" i="12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D191" i="6"/>
  <c r="L191" i="12"/>
  <c r="J191" i="12"/>
  <c r="X185" i="12"/>
  <c r="W185" i="12"/>
  <c r="AF188" i="6"/>
  <c r="AM188" i="5"/>
  <c r="L188" i="5"/>
  <c r="I188" i="12"/>
  <c r="Z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N190" i="6" s="1"/>
  <c r="Y187" i="12" l="1"/>
  <c r="X187" i="12" s="1"/>
  <c r="D192" i="6"/>
  <c r="A191" i="6"/>
  <c r="C188" i="6"/>
  <c r="O188" i="5"/>
  <c r="M190" i="6"/>
  <c r="D187" i="12"/>
  <c r="E187" i="6"/>
  <c r="AM189" i="5"/>
  <c r="L189" i="5"/>
  <c r="I189" i="12"/>
  <c r="Z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C194" i="5" s="1"/>
  <c r="A193" i="12"/>
  <c r="AE193" i="5"/>
  <c r="J193" i="5"/>
  <c r="G193" i="5"/>
  <c r="B193" i="6"/>
  <c r="F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H191" i="6"/>
  <c r="T191" i="5" s="1"/>
  <c r="G190" i="12"/>
  <c r="X190" i="5"/>
  <c r="N187" i="12"/>
  <c r="W187" i="12" l="1"/>
  <c r="V187" i="12" s="1"/>
  <c r="A192" i="6"/>
  <c r="N192" i="6" s="1"/>
  <c r="K192" i="12"/>
  <c r="Y188" i="12"/>
  <c r="W188" i="12" s="1"/>
  <c r="L190" i="5"/>
  <c r="AM190" i="5"/>
  <c r="I190" i="12"/>
  <c r="Z190" i="5"/>
  <c r="G191" i="12"/>
  <c r="X191" i="5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M191" i="6"/>
  <c r="AF191" i="6" s="1"/>
  <c r="N191" i="6"/>
  <c r="N188" i="12"/>
  <c r="AE194" i="5"/>
  <c r="AD194" i="5"/>
  <c r="E194" i="5"/>
  <c r="F194" i="5"/>
  <c r="N194" i="5"/>
  <c r="B194" i="5"/>
  <c r="A194" i="12"/>
  <c r="H194" i="5"/>
  <c r="W194" i="5"/>
  <c r="H194" i="12" s="1"/>
  <c r="C195" i="5"/>
  <c r="B194" i="6"/>
  <c r="G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U187" i="12" l="1"/>
  <c r="T187" i="12"/>
  <c r="M192" i="6"/>
  <c r="BC192" i="6" s="1"/>
  <c r="X188" i="12"/>
  <c r="Y189" i="12"/>
  <c r="W189" i="12" s="1"/>
  <c r="K193" i="12"/>
  <c r="AD191" i="6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H195" i="5"/>
  <c r="D195" i="5"/>
  <c r="B195" i="12" s="1"/>
  <c r="A195" i="12"/>
  <c r="J195" i="5"/>
  <c r="I191" i="12"/>
  <c r="AM191" i="5"/>
  <c r="L191" i="5"/>
  <c r="Z191" i="5"/>
  <c r="AA190" i="5"/>
  <c r="AB190" i="5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H193" i="6"/>
  <c r="T193" i="5" s="1"/>
  <c r="A193" i="6"/>
  <c r="A194" i="6" s="1"/>
  <c r="T188" i="12"/>
  <c r="V188" i="12"/>
  <c r="U188" i="12"/>
  <c r="C190" i="12"/>
  <c r="M190" i="12"/>
  <c r="AO190" i="12"/>
  <c r="O190" i="12"/>
  <c r="C190" i="6"/>
  <c r="O190" i="5"/>
  <c r="BD192" i="6" l="1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N193" i="6"/>
  <c r="M193" i="6"/>
  <c r="AE193" i="6" s="1"/>
  <c r="L192" i="5"/>
  <c r="AM192" i="5"/>
  <c r="I192" i="12"/>
  <c r="Z192" i="5"/>
  <c r="AA191" i="5"/>
  <c r="AB191" i="5"/>
  <c r="L195" i="12"/>
  <c r="J195" i="12"/>
  <c r="G196" i="5"/>
  <c r="K196" i="5"/>
  <c r="B196" i="5"/>
  <c r="N196" i="5"/>
  <c r="B196" i="6"/>
  <c r="J196" i="5"/>
  <c r="A196" i="12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M194" i="6"/>
  <c r="G194" i="6"/>
  <c r="N194" i="6"/>
  <c r="C191" i="6"/>
  <c r="O191" i="5"/>
  <c r="C191" i="12"/>
  <c r="M191" i="12"/>
  <c r="O191" i="12"/>
  <c r="AO191" i="12"/>
  <c r="T189" i="12"/>
  <c r="U189" i="12"/>
  <c r="V189" i="12"/>
  <c r="D195" i="6"/>
  <c r="W190" i="12" l="1"/>
  <c r="U190" i="12" s="1"/>
  <c r="AG194" i="6"/>
  <c r="AP194" i="6"/>
  <c r="AS194" i="6"/>
  <c r="AR194" i="6"/>
  <c r="AH194" i="6"/>
  <c r="AT194" i="6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4" i="12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N195" i="6" s="1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K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D196" i="6"/>
  <c r="K195" i="12"/>
  <c r="C192" i="12"/>
  <c r="M192" i="12"/>
  <c r="AO192" i="12"/>
  <c r="O192" i="12"/>
  <c r="C192" i="6"/>
  <c r="O192" i="5"/>
  <c r="V190" i="12" l="1"/>
  <c r="T190" i="12"/>
  <c r="N192" i="12"/>
  <c r="K196" i="12"/>
  <c r="A196" i="6"/>
  <c r="N196" i="6" s="1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C193" i="12"/>
  <c r="AO193" i="12"/>
  <c r="M193" i="12"/>
  <c r="O193" i="12"/>
  <c r="X191" i="12"/>
  <c r="W191" i="12"/>
  <c r="Y192" i="12"/>
  <c r="H196" i="6"/>
  <c r="T196" i="5" s="1"/>
  <c r="D197" i="6"/>
  <c r="AA193" i="5"/>
  <c r="AB193" i="5"/>
  <c r="C193" i="6"/>
  <c r="O193" i="5"/>
  <c r="G195" i="12"/>
  <c r="X195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H197" i="6"/>
  <c r="T197" i="5" s="1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A197" i="6"/>
  <c r="L195" i="5"/>
  <c r="AM195" i="5"/>
  <c r="I195" i="12"/>
  <c r="Z195" i="5"/>
  <c r="E193" i="6"/>
  <c r="D193" i="12"/>
  <c r="G196" i="12"/>
  <c r="X196" i="5"/>
  <c r="X192" i="12"/>
  <c r="W192" i="12"/>
  <c r="D198" i="6"/>
  <c r="K197" i="12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A198" i="6"/>
  <c r="M198" i="6" s="1"/>
  <c r="K198" i="12"/>
  <c r="T192" i="12"/>
  <c r="V192" i="12"/>
  <c r="U192" i="12"/>
  <c r="AM196" i="5"/>
  <c r="I196" i="12"/>
  <c r="L196" i="5"/>
  <c r="Z196" i="5"/>
  <c r="D199" i="6"/>
  <c r="AE200" i="5"/>
  <c r="A200" i="12"/>
  <c r="B200" i="5"/>
  <c r="D200" i="5"/>
  <c r="B200" i="12" s="1"/>
  <c r="N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M197" i="6"/>
  <c r="AF197" i="6" s="1"/>
  <c r="N197" i="6"/>
  <c r="H198" i="6"/>
  <c r="T198" i="5" s="1"/>
  <c r="AB195" i="5"/>
  <c r="C195" i="12"/>
  <c r="AO195" i="12"/>
  <c r="M195" i="12"/>
  <c r="O195" i="12"/>
  <c r="C195" i="6"/>
  <c r="L199" i="12"/>
  <c r="J199" i="12"/>
  <c r="G197" i="12"/>
  <c r="X197" i="5"/>
  <c r="AJ198" i="6" l="1"/>
  <c r="N198" i="6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H199" i="6"/>
  <c r="T199" i="5" s="1"/>
  <c r="AB196" i="5"/>
  <c r="C196" i="6"/>
  <c r="AJ197" i="6"/>
  <c r="AM197" i="5"/>
  <c r="L197" i="5"/>
  <c r="I197" i="12"/>
  <c r="Z197" i="5"/>
  <c r="A199" i="6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J200" i="12"/>
  <c r="L200" i="12"/>
  <c r="C196" i="12"/>
  <c r="AO196" i="12"/>
  <c r="M196" i="12"/>
  <c r="O196" i="12"/>
  <c r="K200" i="12" l="1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K202" i="5"/>
  <c r="D202" i="5"/>
  <c r="B202" i="12" s="1"/>
  <c r="E202" i="5"/>
  <c r="J202" i="5"/>
  <c r="B202" i="5"/>
  <c r="B202" i="6"/>
  <c r="J201" i="12"/>
  <c r="L201" i="12"/>
  <c r="L198" i="5"/>
  <c r="I198" i="12"/>
  <c r="AM198" i="5"/>
  <c r="Z198" i="5"/>
  <c r="X195" i="12"/>
  <c r="W195" i="12"/>
  <c r="C197" i="12"/>
  <c r="O197" i="12"/>
  <c r="AO197" i="12"/>
  <c r="M197" i="12"/>
  <c r="N199" i="6"/>
  <c r="N196" i="12"/>
  <c r="Y196" i="12"/>
  <c r="AB197" i="5"/>
  <c r="C197" i="6"/>
  <c r="G199" i="12"/>
  <c r="X199" i="5"/>
  <c r="M199" i="6"/>
  <c r="H200" i="6"/>
  <c r="T200" i="5" s="1"/>
  <c r="A201" i="6" l="1"/>
  <c r="M201" i="6" s="1"/>
  <c r="AN201" i="6" s="1"/>
  <c r="N200" i="6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C198" i="6"/>
  <c r="G200" i="12"/>
  <c r="X200" i="5"/>
  <c r="AE199" i="6"/>
  <c r="L199" i="5"/>
  <c r="AM199" i="5"/>
  <c r="I199" i="12"/>
  <c r="Z199" i="5"/>
  <c r="N197" i="12"/>
  <c r="T195" i="12"/>
  <c r="V195" i="12"/>
  <c r="U195" i="12"/>
  <c r="C198" i="12"/>
  <c r="O198" i="12"/>
  <c r="AO198" i="12"/>
  <c r="M198" i="12"/>
  <c r="C204" i="5"/>
  <c r="F203" i="5"/>
  <c r="G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AC200" i="6" l="1"/>
  <c r="X197" i="12"/>
  <c r="BG200" i="6"/>
  <c r="AK200" i="6"/>
  <c r="N201" i="6"/>
  <c r="A202" i="6"/>
  <c r="M202" i="6" s="1"/>
  <c r="BB200" i="6"/>
  <c r="AF200" i="6"/>
  <c r="AT200" i="6"/>
  <c r="AJ200" i="6"/>
  <c r="AO200" i="6"/>
  <c r="AZ200" i="6"/>
  <c r="BC200" i="6"/>
  <c r="AU201" i="6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C199" i="12"/>
  <c r="O199" i="12"/>
  <c r="AO199" i="12"/>
  <c r="M199" i="12"/>
  <c r="C199" i="6"/>
  <c r="AM200" i="5"/>
  <c r="I200" i="12"/>
  <c r="L200" i="5"/>
  <c r="Z200" i="5"/>
  <c r="U196" i="12"/>
  <c r="T196" i="12"/>
  <c r="V196" i="12"/>
  <c r="AI201" i="6"/>
  <c r="AC201" i="6"/>
  <c r="AJ201" i="6"/>
  <c r="AD201" i="6"/>
  <c r="AK201" i="6"/>
  <c r="AF201" i="6"/>
  <c r="H202" i="6"/>
  <c r="T202" i="5" s="1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B204" i="5"/>
  <c r="C205" i="5"/>
  <c r="D204" i="5"/>
  <c r="B204" i="12" s="1"/>
  <c r="N204" i="5"/>
  <c r="K204" i="5"/>
  <c r="G204" i="5"/>
  <c r="F204" i="5"/>
  <c r="E204" i="5"/>
  <c r="N198" i="12"/>
  <c r="AB199" i="5"/>
  <c r="U197" i="12"/>
  <c r="V197" i="12"/>
  <c r="T197" i="12"/>
  <c r="W198" i="12" l="1"/>
  <c r="T198" i="12" s="1"/>
  <c r="AU202" i="6"/>
  <c r="AQ202" i="6"/>
  <c r="N202" i="6"/>
  <c r="AO202" i="6"/>
  <c r="AF202" i="6"/>
  <c r="AS202" i="6"/>
  <c r="BB202" i="6"/>
  <c r="BF202" i="6"/>
  <c r="AN202" i="6"/>
  <c r="AD202" i="6"/>
  <c r="AP202" i="6"/>
  <c r="BA202" i="6"/>
  <c r="AZ202" i="6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H203" i="6"/>
  <c r="T203" i="5" s="1"/>
  <c r="G202" i="12"/>
  <c r="X202" i="5"/>
  <c r="C200" i="6"/>
  <c r="AM201" i="5"/>
  <c r="I201" i="12"/>
  <c r="L201" i="5"/>
  <c r="Z201" i="5"/>
  <c r="D204" i="6"/>
  <c r="AD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C200" i="12"/>
  <c r="M200" i="12"/>
  <c r="AO200" i="12"/>
  <c r="O200" i="12"/>
  <c r="N199" i="12"/>
  <c r="A203" i="6"/>
  <c r="N203" i="6" s="1"/>
  <c r="V198" i="12" l="1"/>
  <c r="X199" i="12"/>
  <c r="U198" i="12"/>
  <c r="N200" i="12"/>
  <c r="B206" i="5"/>
  <c r="K206" i="5"/>
  <c r="AE206" i="5"/>
  <c r="H206" i="5"/>
  <c r="F206" i="5"/>
  <c r="G206" i="5"/>
  <c r="AD206" i="5"/>
  <c r="A206" i="12"/>
  <c r="J206" i="5"/>
  <c r="C207" i="5"/>
  <c r="W206" i="5"/>
  <c r="H206" i="12" s="1"/>
  <c r="B206" i="6"/>
  <c r="E206" i="5"/>
  <c r="D206" i="5"/>
  <c r="B206" i="12" s="1"/>
  <c r="N206" i="5"/>
  <c r="D205" i="6"/>
  <c r="H204" i="6"/>
  <c r="T204" i="5" s="1"/>
  <c r="C201" i="6"/>
  <c r="V199" i="12"/>
  <c r="T199" i="12"/>
  <c r="U199" i="12"/>
  <c r="L202" i="5"/>
  <c r="I202" i="12"/>
  <c r="AM202" i="5"/>
  <c r="Z202" i="5"/>
  <c r="M203" i="6"/>
  <c r="AE203" i="6" s="1"/>
  <c r="Y200" i="12"/>
  <c r="A204" i="6"/>
  <c r="K204" i="12"/>
  <c r="L205" i="12"/>
  <c r="J205" i="12"/>
  <c r="AB201" i="5"/>
  <c r="C201" i="12"/>
  <c r="M201" i="12"/>
  <c r="AO201" i="12"/>
  <c r="O201" i="12"/>
  <c r="G203" i="12"/>
  <c r="X203" i="5"/>
  <c r="N201" i="12" l="1"/>
  <c r="AG203" i="6"/>
  <c r="A205" i="6"/>
  <c r="M205" i="6" s="1"/>
  <c r="AX205" i="6" s="1"/>
  <c r="Y201" i="12"/>
  <c r="W201" i="12" s="1"/>
  <c r="X200" i="12"/>
  <c r="W200" i="12"/>
  <c r="AB202" i="5"/>
  <c r="C202" i="12"/>
  <c r="M202" i="12"/>
  <c r="O202" i="12"/>
  <c r="AO202" i="12"/>
  <c r="H205" i="6"/>
  <c r="T205" i="5" s="1"/>
  <c r="AM203" i="5"/>
  <c r="I203" i="12"/>
  <c r="L203" i="5"/>
  <c r="Z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M204" i="6"/>
  <c r="N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G207" i="5"/>
  <c r="B207" i="5"/>
  <c r="L206" i="12"/>
  <c r="J206" i="12"/>
  <c r="N205" i="6" l="1"/>
  <c r="X201" i="12"/>
  <c r="BF205" i="6"/>
  <c r="AF205" i="6"/>
  <c r="AQ205" i="6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C203" i="6"/>
  <c r="G205" i="12"/>
  <c r="X205" i="5"/>
  <c r="AE205" i="6"/>
  <c r="AD205" i="6"/>
  <c r="AB205" i="6"/>
  <c r="U200" i="12"/>
  <c r="V200" i="12"/>
  <c r="T200" i="12"/>
  <c r="K206" i="12"/>
  <c r="D207" i="6"/>
  <c r="H206" i="6"/>
  <c r="T206" i="5" s="1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X202" i="12" l="1"/>
  <c r="A207" i="6"/>
  <c r="M207" i="6" s="1"/>
  <c r="Y203" i="12"/>
  <c r="X203" i="12" s="1"/>
  <c r="G206" i="12"/>
  <c r="X206" i="5"/>
  <c r="H207" i="6"/>
  <c r="T207" i="5" s="1"/>
  <c r="U202" i="12"/>
  <c r="V202" i="12"/>
  <c r="T202" i="12"/>
  <c r="AB204" i="5"/>
  <c r="C204" i="6"/>
  <c r="J208" i="12"/>
  <c r="L208" i="12"/>
  <c r="N203" i="12"/>
  <c r="N206" i="6"/>
  <c r="M206" i="6"/>
  <c r="AM205" i="5"/>
  <c r="L205" i="5"/>
  <c r="I205" i="12"/>
  <c r="Z205" i="5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D209" i="5"/>
  <c r="B209" i="12" s="1"/>
  <c r="G209" i="5"/>
  <c r="K209" i="5"/>
  <c r="Y204" i="12" l="1"/>
  <c r="W204" i="12" s="1"/>
  <c r="N207" i="6"/>
  <c r="AG207" i="6"/>
  <c r="AC207" i="6"/>
  <c r="W203" i="12"/>
  <c r="V203" i="12" s="1"/>
  <c r="AR207" i="6"/>
  <c r="AD207" i="6"/>
  <c r="BB207" i="6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AB205" i="5"/>
  <c r="C205" i="6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E210" i="5"/>
  <c r="B210" i="6"/>
  <c r="H210" i="5"/>
  <c r="N210" i="5"/>
  <c r="A210" i="12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X204" i="12" l="1"/>
  <c r="Y205" i="12"/>
  <c r="X205" i="12" s="1"/>
  <c r="U203" i="12"/>
  <c r="T203" i="12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H209" i="6"/>
  <c r="T209" i="5" s="1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B206" i="5"/>
  <c r="C206" i="6"/>
  <c r="G208" i="12"/>
  <c r="X208" i="5"/>
  <c r="AF208" i="6"/>
  <c r="AI208" i="6"/>
  <c r="AG208" i="6"/>
  <c r="N208" i="6"/>
  <c r="A209" i="6"/>
  <c r="M209" i="6" s="1"/>
  <c r="N205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W205" i="12" l="1"/>
  <c r="U205" i="12" s="1"/>
  <c r="Y206" i="12"/>
  <c r="W206" i="12" s="1"/>
  <c r="N209" i="6"/>
  <c r="AN209" i="6"/>
  <c r="AZ209" i="6"/>
  <c r="AU209" i="6"/>
  <c r="AD209" i="6"/>
  <c r="H210" i="6"/>
  <c r="T210" i="5" s="1"/>
  <c r="I208" i="12"/>
  <c r="L208" i="5"/>
  <c r="AM208" i="5"/>
  <c r="Z208" i="5"/>
  <c r="L211" i="12"/>
  <c r="J211" i="12"/>
  <c r="D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X206" i="12" l="1"/>
  <c r="V205" i="12"/>
  <c r="T205" i="12"/>
  <c r="A211" i="6"/>
  <c r="N211" i="6" s="1"/>
  <c r="Y207" i="12"/>
  <c r="X207" i="12" s="1"/>
  <c r="AV210" i="6"/>
  <c r="BC210" i="6"/>
  <c r="AG210" i="6"/>
  <c r="AS210" i="6"/>
  <c r="AD210" i="6"/>
  <c r="BF210" i="6"/>
  <c r="BD210" i="6"/>
  <c r="N210" i="6"/>
  <c r="AK210" i="6"/>
  <c r="AT210" i="6"/>
  <c r="AB210" i="6"/>
  <c r="BG210" i="6"/>
  <c r="AI210" i="6"/>
  <c r="AN210" i="6"/>
  <c r="BA210" i="6"/>
  <c r="AO210" i="6"/>
  <c r="I209" i="12"/>
  <c r="AM209" i="5"/>
  <c r="L209" i="5"/>
  <c r="Z209" i="5"/>
  <c r="D212" i="6"/>
  <c r="U206" i="12"/>
  <c r="T206" i="12"/>
  <c r="V206" i="12"/>
  <c r="C208" i="6"/>
  <c r="O208" i="5"/>
  <c r="N213" i="5"/>
  <c r="J213" i="5"/>
  <c r="F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212" i="6" l="1"/>
  <c r="N212" i="6" s="1"/>
  <c r="M211" i="6"/>
  <c r="AT211" i="6" s="1"/>
  <c r="N208" i="12"/>
  <c r="W207" i="12"/>
  <c r="V207" i="12" s="1"/>
  <c r="Y208" i="12"/>
  <c r="X208" i="12" s="1"/>
  <c r="AM210" i="5"/>
  <c r="I210" i="12"/>
  <c r="L210" i="5"/>
  <c r="Z210" i="5"/>
  <c r="G211" i="12"/>
  <c r="X211" i="5"/>
  <c r="D213" i="6"/>
  <c r="K212" i="12"/>
  <c r="J214" i="5"/>
  <c r="B214" i="5"/>
  <c r="C215" i="5" s="1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D208" i="12"/>
  <c r="E208" i="6"/>
  <c r="H212" i="6"/>
  <c r="T212" i="5" s="1"/>
  <c r="AB209" i="5"/>
  <c r="AA209" i="5"/>
  <c r="C209" i="6"/>
  <c r="O209" i="5"/>
  <c r="C209" i="12"/>
  <c r="AO209" i="12"/>
  <c r="O209" i="12"/>
  <c r="M209" i="12"/>
  <c r="M212" i="6" l="1"/>
  <c r="AR212" i="6" s="1"/>
  <c r="AE211" i="6"/>
  <c r="AY211" i="6"/>
  <c r="AK211" i="6"/>
  <c r="AM211" i="6"/>
  <c r="BE211" i="6"/>
  <c r="AX211" i="6"/>
  <c r="AU211" i="6"/>
  <c r="AD211" i="6"/>
  <c r="AJ211" i="6"/>
  <c r="AO211" i="6"/>
  <c r="AV211" i="6"/>
  <c r="BD211" i="6"/>
  <c r="AI211" i="6"/>
  <c r="BA211" i="6"/>
  <c r="AF211" i="6"/>
  <c r="AZ211" i="6"/>
  <c r="AH211" i="6"/>
  <c r="BC211" i="6"/>
  <c r="BF211" i="6"/>
  <c r="AB211" i="6"/>
  <c r="BB211" i="6"/>
  <c r="AC211" i="6"/>
  <c r="BG211" i="6"/>
  <c r="AN211" i="6"/>
  <c r="AR211" i="6"/>
  <c r="AG211" i="6"/>
  <c r="AS211" i="6"/>
  <c r="AP211" i="6"/>
  <c r="AQ211" i="6"/>
  <c r="W208" i="12"/>
  <c r="U208" i="12" s="1"/>
  <c r="T207" i="12"/>
  <c r="U207" i="12"/>
  <c r="N209" i="12"/>
  <c r="L214" i="12"/>
  <c r="J214" i="12"/>
  <c r="H213" i="6"/>
  <c r="T213" i="5" s="1"/>
  <c r="I211" i="12"/>
  <c r="L211" i="5"/>
  <c r="AM211" i="5"/>
  <c r="Z211" i="5"/>
  <c r="C210" i="12"/>
  <c r="AO210" i="12"/>
  <c r="O210" i="12"/>
  <c r="M210" i="12"/>
  <c r="Y209" i="12"/>
  <c r="D209" i="12"/>
  <c r="E209" i="6"/>
  <c r="G212" i="12"/>
  <c r="X212" i="5"/>
  <c r="K213" i="12"/>
  <c r="D214" i="6"/>
  <c r="E215" i="5"/>
  <c r="N215" i="5"/>
  <c r="H215" i="5"/>
  <c r="AE215" i="5"/>
  <c r="W215" i="5"/>
  <c r="H215" i="12" s="1"/>
  <c r="A215" i="12"/>
  <c r="B215" i="6"/>
  <c r="G215" i="5"/>
  <c r="B215" i="5"/>
  <c r="AD215" i="5"/>
  <c r="F215" i="5"/>
  <c r="C216" i="5"/>
  <c r="A213" i="6"/>
  <c r="M213" i="6" s="1"/>
  <c r="AA210" i="5"/>
  <c r="AB210" i="5"/>
  <c r="C210" i="6"/>
  <c r="O210" i="5"/>
  <c r="BE212" i="6" l="1"/>
  <c r="AI212" i="6"/>
  <c r="BG212" i="6"/>
  <c r="AZ212" i="6"/>
  <c r="AJ212" i="6"/>
  <c r="AG212" i="6"/>
  <c r="AC212" i="6"/>
  <c r="BA212" i="6"/>
  <c r="AH212" i="6"/>
  <c r="AP212" i="6"/>
  <c r="AY212" i="6"/>
  <c r="AU212" i="6"/>
  <c r="AB212" i="6"/>
  <c r="AT212" i="6"/>
  <c r="AN212" i="6"/>
  <c r="BF212" i="6"/>
  <c r="AE212" i="6"/>
  <c r="AF212" i="6"/>
  <c r="BC212" i="6"/>
  <c r="AO212" i="6"/>
  <c r="AK212" i="6"/>
  <c r="AV212" i="6"/>
  <c r="BD212" i="6"/>
  <c r="AD212" i="6"/>
  <c r="AM212" i="6"/>
  <c r="AX212" i="6"/>
  <c r="AS212" i="6"/>
  <c r="BB212" i="6"/>
  <c r="AQ212" i="6"/>
  <c r="V208" i="12"/>
  <c r="T208" i="12"/>
  <c r="N210" i="12"/>
  <c r="N213" i="6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G216" i="5"/>
  <c r="AD216" i="5"/>
  <c r="F216" i="5"/>
  <c r="AE216" i="5"/>
  <c r="A216" i="12"/>
  <c r="B216" i="6"/>
  <c r="H216" i="5"/>
  <c r="D215" i="6"/>
  <c r="L212" i="5"/>
  <c r="AM212" i="5"/>
  <c r="I212" i="12"/>
  <c r="Z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N211" i="12" l="1"/>
  <c r="Y211" i="12"/>
  <c r="X211" i="12" s="1"/>
  <c r="N214" i="6"/>
  <c r="A215" i="6"/>
  <c r="N215" i="6" s="1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J216" i="12"/>
  <c r="L216" i="12"/>
  <c r="I213" i="12"/>
  <c r="AM213" i="5"/>
  <c r="L213" i="5"/>
  <c r="Z213" i="5"/>
  <c r="T209" i="12"/>
  <c r="U209" i="12"/>
  <c r="V209" i="12"/>
  <c r="AK214" i="6"/>
  <c r="AE214" i="6"/>
  <c r="AG214" i="6"/>
  <c r="AB214" i="6"/>
  <c r="AC214" i="6"/>
  <c r="W211" i="12" l="1"/>
  <c r="U211" i="12" s="1"/>
  <c r="M215" i="6"/>
  <c r="AF215" i="6" s="1"/>
  <c r="N212" i="12"/>
  <c r="AB213" i="5"/>
  <c r="AA213" i="5"/>
  <c r="I214" i="12"/>
  <c r="AM214" i="5"/>
  <c r="L214" i="5"/>
  <c r="Z214" i="5"/>
  <c r="H216" i="6"/>
  <c r="T216" i="5" s="1"/>
  <c r="L217" i="12"/>
  <c r="J217" i="12"/>
  <c r="B218" i="6"/>
  <c r="AD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D217" i="6"/>
  <c r="A216" i="6"/>
  <c r="N216" i="6" s="1"/>
  <c r="U210" i="12"/>
  <c r="T210" i="12"/>
  <c r="V210" i="12"/>
  <c r="C213" i="6"/>
  <c r="O213" i="5"/>
  <c r="C213" i="12"/>
  <c r="O213" i="12"/>
  <c r="AO213" i="12"/>
  <c r="M213" i="12"/>
  <c r="K216" i="12"/>
  <c r="G215" i="12"/>
  <c r="D212" i="12"/>
  <c r="E212" i="6"/>
  <c r="Y212" i="12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217" i="6"/>
  <c r="N217" i="6" s="1"/>
  <c r="K217" i="12"/>
  <c r="M216" i="6"/>
  <c r="AU216" i="6" s="1"/>
  <c r="X212" i="12"/>
  <c r="W212" i="12"/>
  <c r="N213" i="12"/>
  <c r="E213" i="6"/>
  <c r="D213" i="12"/>
  <c r="L218" i="12"/>
  <c r="J218" i="12"/>
  <c r="D218" i="6"/>
  <c r="Y213" i="12"/>
  <c r="H217" i="6"/>
  <c r="T217" i="5" s="1"/>
  <c r="B219" i="6"/>
  <c r="A219" i="12"/>
  <c r="K219" i="5"/>
  <c r="F219" i="5"/>
  <c r="C220" i="5"/>
  <c r="AE219" i="5"/>
  <c r="N219" i="5"/>
  <c r="H219" i="5"/>
  <c r="D219" i="5"/>
  <c r="B219" i="12" s="1"/>
  <c r="B219" i="5"/>
  <c r="G219" i="5"/>
  <c r="AD219" i="5"/>
  <c r="W219" i="5"/>
  <c r="H219" i="12" s="1"/>
  <c r="E219" i="5"/>
  <c r="J219" i="5"/>
  <c r="G216" i="12"/>
  <c r="X216" i="5"/>
  <c r="AB214" i="5"/>
  <c r="AA214" i="5"/>
  <c r="C214" i="6"/>
  <c r="O214" i="5"/>
  <c r="C214" i="12"/>
  <c r="AO214" i="12"/>
  <c r="M214" i="12"/>
  <c r="O214" i="12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K218" i="12"/>
  <c r="V212" i="12"/>
  <c r="T212" i="12"/>
  <c r="U212" i="12"/>
  <c r="D219" i="6"/>
  <c r="L219" i="12"/>
  <c r="J219" i="12"/>
  <c r="X213" i="12"/>
  <c r="W213" i="12"/>
  <c r="N218" i="6" l="1"/>
  <c r="AV217" i="6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BG218" i="6"/>
  <c r="AS218" i="6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D220" i="6"/>
  <c r="AD221" i="5"/>
  <c r="F221" i="5"/>
  <c r="D221" i="5"/>
  <c r="B221" i="12" s="1"/>
  <c r="E221" i="5"/>
  <c r="A221" i="12"/>
  <c r="K221" i="5"/>
  <c r="H221" i="5"/>
  <c r="B221" i="6"/>
  <c r="N221" i="5"/>
  <c r="B221" i="5"/>
  <c r="AE221" i="5"/>
  <c r="C222" i="5"/>
  <c r="W221" i="5"/>
  <c r="H221" i="12" s="1"/>
  <c r="G221" i="5"/>
  <c r="J221" i="5"/>
  <c r="AB216" i="5"/>
  <c r="C216" i="12"/>
  <c r="AO216" i="12"/>
  <c r="M216" i="12"/>
  <c r="O216" i="12"/>
  <c r="C216" i="6"/>
  <c r="K219" i="12"/>
  <c r="H219" i="6"/>
  <c r="T219" i="5" s="1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N219" i="6" l="1"/>
  <c r="AM219" i="6"/>
  <c r="AE219" i="6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A222" i="12"/>
  <c r="H222" i="5"/>
  <c r="B222" i="5"/>
  <c r="G222" i="5"/>
  <c r="J222" i="5"/>
  <c r="B222" i="6"/>
  <c r="K222" i="5"/>
  <c r="AE222" i="5"/>
  <c r="N222" i="5"/>
  <c r="AD222" i="5"/>
  <c r="F222" i="5"/>
  <c r="C223" i="5"/>
  <c r="D222" i="5"/>
  <c r="B222" i="12" s="1"/>
  <c r="W222" i="5"/>
  <c r="H222" i="12" s="1"/>
  <c r="E222" i="5"/>
  <c r="L221" i="12"/>
  <c r="J221" i="12"/>
  <c r="H220" i="6"/>
  <c r="T220" i="5" s="1"/>
  <c r="C217" i="6"/>
  <c r="A220" i="6"/>
  <c r="N220" i="6" s="1"/>
  <c r="I218" i="12"/>
  <c r="L218" i="5"/>
  <c r="AM218" i="5"/>
  <c r="Z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N216" i="12"/>
  <c r="Y216" i="12"/>
  <c r="D221" i="6"/>
  <c r="AB217" i="5"/>
  <c r="C217" i="12"/>
  <c r="AO217" i="12"/>
  <c r="O217" i="12"/>
  <c r="M217" i="12"/>
  <c r="N217" i="12" l="1"/>
  <c r="H221" i="6"/>
  <c r="T221" i="5" s="1"/>
  <c r="C218" i="6"/>
  <c r="A221" i="6"/>
  <c r="M221" i="6" s="1"/>
  <c r="D222" i="6"/>
  <c r="L222" i="12"/>
  <c r="J222" i="12"/>
  <c r="Y217" i="12"/>
  <c r="W216" i="12"/>
  <c r="X216" i="12"/>
  <c r="AM219" i="5"/>
  <c r="I219" i="12"/>
  <c r="L219" i="5"/>
  <c r="Z219" i="5"/>
  <c r="AB218" i="5"/>
  <c r="C218" i="12"/>
  <c r="O218" i="12"/>
  <c r="AO218" i="12"/>
  <c r="M218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C224" i="5"/>
  <c r="A223" i="12"/>
  <c r="N221" i="6" l="1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D223" i="6"/>
  <c r="N218" i="12"/>
  <c r="AB219" i="5"/>
  <c r="C219" i="12"/>
  <c r="M219" i="12"/>
  <c r="AO219" i="12"/>
  <c r="O219" i="12"/>
  <c r="W217" i="12"/>
  <c r="X217" i="12"/>
  <c r="K222" i="12"/>
  <c r="H222" i="6"/>
  <c r="T222" i="5" s="1"/>
  <c r="A222" i="6"/>
  <c r="N222" i="6" s="1"/>
  <c r="E224" i="5"/>
  <c r="F224" i="5"/>
  <c r="K224" i="5"/>
  <c r="W224" i="5"/>
  <c r="H224" i="12" s="1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V216" i="12"/>
  <c r="U216" i="12"/>
  <c r="T216" i="12"/>
  <c r="G221" i="12"/>
  <c r="X221" i="5"/>
  <c r="N219" i="12" l="1"/>
  <c r="M222" i="6"/>
  <c r="AC222" i="6" s="1"/>
  <c r="Y219" i="12"/>
  <c r="X219" i="12" s="1"/>
  <c r="A223" i="6"/>
  <c r="N223" i="6" s="1"/>
  <c r="K223" i="12"/>
  <c r="X218" i="12"/>
  <c r="W218" i="12"/>
  <c r="AB220" i="5"/>
  <c r="C220" i="12"/>
  <c r="O220" i="12"/>
  <c r="M220" i="12"/>
  <c r="AO220" i="12"/>
  <c r="L224" i="12"/>
  <c r="J224" i="12"/>
  <c r="D224" i="6"/>
  <c r="U217" i="12"/>
  <c r="T217" i="12"/>
  <c r="V217" i="12"/>
  <c r="H223" i="6"/>
  <c r="T223" i="5" s="1"/>
  <c r="L221" i="5"/>
  <c r="AM221" i="5"/>
  <c r="I221" i="12"/>
  <c r="Z221" i="5"/>
  <c r="C220" i="6"/>
  <c r="K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E226" i="5"/>
  <c r="G226" i="5"/>
  <c r="E226" i="5"/>
  <c r="AD226" i="5"/>
  <c r="W226" i="5"/>
  <c r="H226" i="12" s="1"/>
  <c r="F226" i="5"/>
  <c r="B226" i="5"/>
  <c r="D226" i="5"/>
  <c r="B226" i="12" s="1"/>
  <c r="J226" i="5"/>
  <c r="C227" i="5"/>
  <c r="B226" i="6"/>
  <c r="H226" i="5"/>
  <c r="N226" i="5"/>
  <c r="A226" i="12"/>
  <c r="K226" i="5"/>
  <c r="AB221" i="5"/>
  <c r="H224" i="6"/>
  <c r="T224" i="5" s="1"/>
  <c r="T218" i="12"/>
  <c r="V218" i="12"/>
  <c r="U218" i="12"/>
  <c r="A224" i="6"/>
  <c r="N224" i="6" s="1"/>
  <c r="L225" i="12"/>
  <c r="J225" i="12"/>
  <c r="D225" i="6"/>
  <c r="C221" i="12"/>
  <c r="O221" i="12"/>
  <c r="AO221" i="12"/>
  <c r="M221" i="12"/>
  <c r="C221" i="6"/>
  <c r="G223" i="12"/>
  <c r="X223" i="5"/>
  <c r="K224" i="12"/>
  <c r="X220" i="12" l="1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M224" i="6"/>
  <c r="AM224" i="6" s="1"/>
  <c r="AM223" i="5"/>
  <c r="L223" i="5"/>
  <c r="I223" i="12"/>
  <c r="Z223" i="5"/>
  <c r="K225" i="12"/>
  <c r="U220" i="12"/>
  <c r="T220" i="12"/>
  <c r="V220" i="12"/>
  <c r="D226" i="6"/>
  <c r="E227" i="5"/>
  <c r="F227" i="5"/>
  <c r="B227" i="5"/>
  <c r="H227" i="5"/>
  <c r="J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C222" i="12"/>
  <c r="O222" i="12"/>
  <c r="AO222" i="12"/>
  <c r="M222" i="12"/>
  <c r="N221" i="12"/>
  <c r="H225" i="6"/>
  <c r="T225" i="5" s="1"/>
  <c r="A225" i="6"/>
  <c r="M225" i="6" s="1"/>
  <c r="G224" i="12"/>
  <c r="X224" i="5"/>
  <c r="L226" i="12"/>
  <c r="J226" i="12"/>
  <c r="AB222" i="5"/>
  <c r="C222" i="6"/>
  <c r="X221" i="12" l="1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BA225" i="6"/>
  <c r="AI225" i="6"/>
  <c r="N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J227" i="12"/>
  <c r="L227" i="12"/>
  <c r="V221" i="12"/>
  <c r="T221" i="12"/>
  <c r="U221" i="12"/>
  <c r="C223" i="6"/>
  <c r="I224" i="12"/>
  <c r="L224" i="5"/>
  <c r="AM224" i="5"/>
  <c r="Z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D227" i="6"/>
  <c r="H226" i="6"/>
  <c r="T226" i="5" s="1"/>
  <c r="AB223" i="5"/>
  <c r="C223" i="12"/>
  <c r="O223" i="12"/>
  <c r="AO223" i="12"/>
  <c r="M223" i="12"/>
  <c r="X222" i="12" l="1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N226" i="6"/>
  <c r="AC226" i="6"/>
  <c r="AJ226" i="6"/>
  <c r="AD226" i="6"/>
  <c r="AK226" i="6"/>
  <c r="H227" i="6"/>
  <c r="T227" i="5" s="1"/>
  <c r="B229" i="5"/>
  <c r="F229" i="5"/>
  <c r="A229" i="12"/>
  <c r="D229" i="5"/>
  <c r="B229" i="12" s="1"/>
  <c r="J229" i="5"/>
  <c r="E229" i="5"/>
  <c r="AD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N227" i="6" s="1"/>
  <c r="D228" i="6"/>
  <c r="I225" i="12"/>
  <c r="AM225" i="5"/>
  <c r="L225" i="5"/>
  <c r="Z225" i="5"/>
  <c r="AB224" i="5"/>
  <c r="C224" i="6"/>
  <c r="K227" i="12"/>
  <c r="U222" i="12"/>
  <c r="T222" i="12"/>
  <c r="V222" i="12"/>
  <c r="Y224" i="12" l="1"/>
  <c r="X224" i="12" s="1"/>
  <c r="X223" i="12"/>
  <c r="N224" i="12"/>
  <c r="K228" i="12"/>
  <c r="AB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H230" i="5"/>
  <c r="M227" i="6"/>
  <c r="AK227" i="6" s="1"/>
  <c r="G227" i="12"/>
  <c r="X227" i="5"/>
  <c r="U223" i="12"/>
  <c r="V223" i="12"/>
  <c r="T223" i="12"/>
  <c r="C225" i="6"/>
  <c r="C225" i="12"/>
  <c r="M225" i="12"/>
  <c r="O225" i="12"/>
  <c r="AO225" i="12"/>
  <c r="H228" i="6"/>
  <c r="T228" i="5" s="1"/>
  <c r="I226" i="12"/>
  <c r="AM226" i="5"/>
  <c r="L226" i="5"/>
  <c r="Z226" i="5"/>
  <c r="D229" i="6"/>
  <c r="L229" i="12"/>
  <c r="J229" i="12"/>
  <c r="W224" i="12" l="1"/>
  <c r="T224" i="12" s="1"/>
  <c r="N228" i="6"/>
  <c r="A229" i="6"/>
  <c r="M229" i="6" s="1"/>
  <c r="AJ227" i="6"/>
  <c r="BC228" i="6"/>
  <c r="K229" i="12"/>
  <c r="AQ228" i="6"/>
  <c r="AO228" i="6"/>
  <c r="AI228" i="6"/>
  <c r="BG228" i="6"/>
  <c r="Y225" i="12"/>
  <c r="W225" i="12" s="1"/>
  <c r="AG227" i="6"/>
  <c r="AB226" i="5"/>
  <c r="AH228" i="6"/>
  <c r="AY228" i="6"/>
  <c r="BB228" i="6"/>
  <c r="AB228" i="6"/>
  <c r="AF228" i="6"/>
  <c r="AU228" i="6"/>
  <c r="AM228" i="6"/>
  <c r="AK228" i="6"/>
  <c r="AJ228" i="6"/>
  <c r="BD228" i="6"/>
  <c r="AM227" i="5"/>
  <c r="I227" i="12"/>
  <c r="L227" i="5"/>
  <c r="Z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AD231" i="5"/>
  <c r="H231" i="5"/>
  <c r="B231" i="5"/>
  <c r="AD227" i="6"/>
  <c r="AH227" i="6"/>
  <c r="H229" i="6"/>
  <c r="T229" i="5" s="1"/>
  <c r="C226" i="6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V224" i="12" l="1"/>
  <c r="U224" i="12"/>
  <c r="X225" i="12"/>
  <c r="A230" i="6"/>
  <c r="N230" i="6" s="1"/>
  <c r="N229" i="6"/>
  <c r="AC229" i="6"/>
  <c r="AK229" i="6"/>
  <c r="AH229" i="6"/>
  <c r="AJ229" i="6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B227" i="5"/>
  <c r="C227" i="12"/>
  <c r="AO227" i="12"/>
  <c r="M227" i="12"/>
  <c r="O227" i="12"/>
  <c r="V225" i="12"/>
  <c r="U225" i="12"/>
  <c r="T225" i="12"/>
  <c r="K230" i="12"/>
  <c r="H230" i="6"/>
  <c r="T230" i="5" s="1"/>
  <c r="L228" i="5"/>
  <c r="I228" i="12"/>
  <c r="AM228" i="5"/>
  <c r="Z228" i="5"/>
  <c r="N226" i="12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D231" i="6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M230" i="6" l="1"/>
  <c r="AR230" i="6" s="1"/>
  <c r="X226" i="12"/>
  <c r="A231" i="6"/>
  <c r="M231" i="6" s="1"/>
  <c r="AQ231" i="6" s="1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B233" i="6"/>
  <c r="W233" i="5"/>
  <c r="H233" i="12" s="1"/>
  <c r="D233" i="5"/>
  <c r="B233" i="12" s="1"/>
  <c r="D232" i="6"/>
  <c r="AB228" i="5"/>
  <c r="C228" i="12"/>
  <c r="O228" i="12"/>
  <c r="M228" i="12"/>
  <c r="AO228" i="12"/>
  <c r="G230" i="12"/>
  <c r="X230" i="5"/>
  <c r="Y227" i="12"/>
  <c r="V226" i="12"/>
  <c r="U226" i="12"/>
  <c r="T226" i="12"/>
  <c r="K231" i="12"/>
  <c r="J232" i="12"/>
  <c r="L232" i="12"/>
  <c r="H231" i="6"/>
  <c r="T231" i="5" s="1"/>
  <c r="I229" i="12"/>
  <c r="AM229" i="5"/>
  <c r="L229" i="5"/>
  <c r="Z229" i="5"/>
  <c r="C228" i="6"/>
  <c r="AN230" i="6" l="1"/>
  <c r="BF230" i="6"/>
  <c r="AQ230" i="6"/>
  <c r="BE230" i="6"/>
  <c r="BG230" i="6"/>
  <c r="BD230" i="6"/>
  <c r="AB230" i="6"/>
  <c r="AO230" i="6"/>
  <c r="AV230" i="6"/>
  <c r="AP230" i="6"/>
  <c r="BA230" i="6"/>
  <c r="AU230" i="6"/>
  <c r="AJ230" i="6"/>
  <c r="AK230" i="6"/>
  <c r="AI230" i="6"/>
  <c r="BC230" i="6"/>
  <c r="BB230" i="6"/>
  <c r="AD230" i="6"/>
  <c r="AC230" i="6"/>
  <c r="AS230" i="6"/>
  <c r="AE230" i="6"/>
  <c r="AH230" i="6"/>
  <c r="AT230" i="6"/>
  <c r="AM230" i="6"/>
  <c r="AG230" i="6"/>
  <c r="AY230" i="6"/>
  <c r="AX230" i="6"/>
  <c r="AZ230" i="6"/>
  <c r="AF230" i="6"/>
  <c r="A232" i="6"/>
  <c r="M232" i="6" s="1"/>
  <c r="AM232" i="6" s="1"/>
  <c r="N231" i="6"/>
  <c r="Y228" i="12"/>
  <c r="W228" i="12" s="1"/>
  <c r="AR231" i="6"/>
  <c r="BE231" i="6"/>
  <c r="BD231" i="6"/>
  <c r="BA231" i="6"/>
  <c r="AS231" i="6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AB229" i="5"/>
  <c r="X227" i="12"/>
  <c r="W227" i="12"/>
  <c r="L230" i="5"/>
  <c r="AM230" i="5"/>
  <c r="I230" i="12"/>
  <c r="Z230" i="5"/>
  <c r="L233" i="12"/>
  <c r="J233" i="12"/>
  <c r="C229" i="6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H232" i="6"/>
  <c r="T232" i="5" s="1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N232" i="6" l="1"/>
  <c r="Y229" i="12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T228" i="12"/>
  <c r="U228" i="12"/>
  <c r="V228" i="12"/>
  <c r="AB230" i="5"/>
  <c r="T227" i="12"/>
  <c r="V227" i="12"/>
  <c r="U227" i="12"/>
  <c r="H233" i="6"/>
  <c r="T233" i="5" s="1"/>
  <c r="N235" i="5"/>
  <c r="H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G232" i="12"/>
  <c r="X232" i="5"/>
  <c r="AD232" i="6"/>
  <c r="AF232" i="6"/>
  <c r="AI232" i="6"/>
  <c r="AK232" i="6"/>
  <c r="AJ232" i="6"/>
  <c r="A233" i="6"/>
  <c r="N233" i="6" s="1"/>
  <c r="C230" i="12"/>
  <c r="O230" i="12"/>
  <c r="M230" i="12"/>
  <c r="AO230" i="12"/>
  <c r="C230" i="6"/>
  <c r="Y230" i="12" l="1"/>
  <c r="X230" i="12" s="1"/>
  <c r="X229" i="12"/>
  <c r="N230" i="12"/>
  <c r="AM232" i="5"/>
  <c r="L232" i="5"/>
  <c r="I232" i="12"/>
  <c r="Z232" i="5"/>
  <c r="AD236" i="5"/>
  <c r="E236" i="5"/>
  <c r="B236" i="5"/>
  <c r="A236" i="12"/>
  <c r="J236" i="5"/>
  <c r="C237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N234" i="6" s="1"/>
  <c r="M233" i="6"/>
  <c r="AH233" i="6" s="1"/>
  <c r="C231" i="6"/>
  <c r="D235" i="6"/>
  <c r="G233" i="12"/>
  <c r="X233" i="5"/>
  <c r="U229" i="12"/>
  <c r="V229" i="12"/>
  <c r="T229" i="12"/>
  <c r="AB231" i="5"/>
  <c r="C231" i="12"/>
  <c r="M231" i="12"/>
  <c r="AO231" i="12"/>
  <c r="O231" i="12"/>
  <c r="H234" i="6"/>
  <c r="T234" i="5" s="1"/>
  <c r="K234" i="12"/>
  <c r="W230" i="12" l="1"/>
  <c r="U230" i="12" s="1"/>
  <c r="N231" i="12"/>
  <c r="M234" i="6"/>
  <c r="AY234" i="6" s="1"/>
  <c r="A235" i="6"/>
  <c r="N235" i="6" s="1"/>
  <c r="G234" i="12"/>
  <c r="X234" i="5"/>
  <c r="I233" i="12"/>
  <c r="AM233" i="5"/>
  <c r="L233" i="5"/>
  <c r="Z233" i="5"/>
  <c r="H235" i="6"/>
  <c r="T235" i="5" s="1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C232" i="12"/>
  <c r="O232" i="12"/>
  <c r="AO232" i="12"/>
  <c r="M232" i="12"/>
  <c r="AE234" i="6" l="1"/>
  <c r="AN234" i="6"/>
  <c r="AM234" i="6"/>
  <c r="AH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K236" i="12"/>
  <c r="N232" i="12"/>
  <c r="X231" i="12"/>
  <c r="W231" i="12"/>
  <c r="E232" i="6"/>
  <c r="D232" i="12"/>
  <c r="B238" i="6"/>
  <c r="N238" i="5"/>
  <c r="C239" i="5"/>
  <c r="A238" i="12"/>
  <c r="K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Y232" i="12"/>
  <c r="H236" i="6"/>
  <c r="T236" i="5" s="1"/>
  <c r="D237" i="6"/>
  <c r="J237" i="12"/>
  <c r="L237" i="12"/>
  <c r="A236" i="6"/>
  <c r="N236" i="6" s="1"/>
  <c r="C233" i="6"/>
  <c r="O233" i="5"/>
  <c r="C233" i="12"/>
  <c r="AO233" i="12"/>
  <c r="M233" i="12"/>
  <c r="O233" i="12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K237" i="12"/>
  <c r="M236" i="6"/>
  <c r="AB236" i="6" s="1"/>
  <c r="H237" i="6"/>
  <c r="T237" i="5" s="1"/>
  <c r="AB234" i="5"/>
  <c r="AA234" i="5"/>
  <c r="C234" i="6"/>
  <c r="O234" i="5"/>
  <c r="L235" i="5"/>
  <c r="AM235" i="5"/>
  <c r="I235" i="12"/>
  <c r="Z235" i="5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J239" i="5"/>
  <c r="G239" i="5"/>
  <c r="H239" i="5"/>
  <c r="D239" i="5"/>
  <c r="B239" i="12" s="1"/>
  <c r="N239" i="5"/>
  <c r="A239" i="12"/>
  <c r="U231" i="12"/>
  <c r="T231" i="12"/>
  <c r="V231" i="12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238" i="6"/>
  <c r="N238" i="6" s="1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N237" i="6"/>
  <c r="D239" i="6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X233" i="12"/>
  <c r="W233" i="12"/>
  <c r="H238" i="6"/>
  <c r="T238" i="5" s="1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X234" i="12" l="1"/>
  <c r="M238" i="6"/>
  <c r="BB238" i="6" s="1"/>
  <c r="A239" i="6"/>
  <c r="M239" i="6" s="1"/>
  <c r="AS239" i="6" s="1"/>
  <c r="C236" i="6"/>
  <c r="O236" i="5"/>
  <c r="K239" i="12"/>
  <c r="I237" i="12"/>
  <c r="L237" i="5"/>
  <c r="AM237" i="5"/>
  <c r="Z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D240" i="6"/>
  <c r="Y235" i="12"/>
  <c r="H239" i="6"/>
  <c r="T239" i="5" s="1"/>
  <c r="AN238" i="6" l="1"/>
  <c r="AT238" i="6"/>
  <c r="AU238" i="6"/>
  <c r="AP238" i="6"/>
  <c r="BA238" i="6"/>
  <c r="AY238" i="6"/>
  <c r="BD238" i="6"/>
  <c r="AM238" i="6"/>
  <c r="BC238" i="6"/>
  <c r="N239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H240" i="6"/>
  <c r="T240" i="5" s="1"/>
  <c r="A240" i="6"/>
  <c r="N240" i="6" s="1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J241" i="12"/>
  <c r="L241" i="12"/>
  <c r="A242" i="12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C237" i="6"/>
  <c r="O237" i="5"/>
  <c r="W236" i="12" l="1"/>
  <c r="V236" i="12" s="1"/>
  <c r="K241" i="12"/>
  <c r="E237" i="6"/>
  <c r="D237" i="12"/>
  <c r="C238" i="6"/>
  <c r="O238" i="5"/>
  <c r="H241" i="6"/>
  <c r="T241" i="5" s="1"/>
  <c r="B243" i="6"/>
  <c r="C244" i="5"/>
  <c r="H243" i="5"/>
  <c r="A243" i="12"/>
  <c r="W243" i="5"/>
  <c r="H243" i="12" s="1"/>
  <c r="F243" i="5"/>
  <c r="E243" i="5"/>
  <c r="G243" i="5"/>
  <c r="K243" i="5"/>
  <c r="D243" i="5"/>
  <c r="B243" i="12" s="1"/>
  <c r="AD243" i="5"/>
  <c r="N243" i="5"/>
  <c r="B243" i="5"/>
  <c r="AE243" i="5"/>
  <c r="J243" i="5"/>
  <c r="U235" i="12"/>
  <c r="T235" i="12"/>
  <c r="V235" i="12"/>
  <c r="N237" i="12"/>
  <c r="A241" i="6"/>
  <c r="M241" i="6" s="1"/>
  <c r="I239" i="12"/>
  <c r="AM239" i="5"/>
  <c r="L239" i="5"/>
  <c r="Z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U236" i="12" l="1"/>
  <c r="T236" i="12"/>
  <c r="AG240" i="6"/>
  <c r="N241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AB239" i="5"/>
  <c r="AA239" i="5"/>
  <c r="C239" i="6"/>
  <c r="O239" i="5"/>
  <c r="C239" i="12"/>
  <c r="O239" i="12"/>
  <c r="AO239" i="12"/>
  <c r="M239" i="12"/>
  <c r="D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X237" i="12"/>
  <c r="W237" i="12"/>
  <c r="Y238" i="12"/>
  <c r="L243" i="12"/>
  <c r="J243" i="12"/>
  <c r="C245" i="5"/>
  <c r="AD244" i="5"/>
  <c r="F244" i="5"/>
  <c r="K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Z242" i="6" l="1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D244" i="6"/>
  <c r="F245" i="5"/>
  <c r="C246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N242" i="6"/>
  <c r="G242" i="12"/>
  <c r="X242" i="5"/>
  <c r="L244" i="12"/>
  <c r="J244" i="12"/>
  <c r="K243" i="12"/>
  <c r="T237" i="12"/>
  <c r="U237" i="12"/>
  <c r="V237" i="12"/>
  <c r="AB240" i="5"/>
  <c r="AA240" i="5"/>
  <c r="A243" i="6"/>
  <c r="H243" i="6"/>
  <c r="T243" i="5" s="1"/>
  <c r="Y239" i="12"/>
  <c r="AE242" i="6"/>
  <c r="AI242" i="6"/>
  <c r="AB242" i="6"/>
  <c r="AD242" i="6"/>
  <c r="AC242" i="6"/>
  <c r="A244" i="6" l="1"/>
  <c r="N244" i="6" s="1"/>
  <c r="K244" i="12"/>
  <c r="N240" i="12"/>
  <c r="G243" i="12"/>
  <c r="X243" i="5"/>
  <c r="U238" i="12"/>
  <c r="T238" i="12"/>
  <c r="V238" i="12"/>
  <c r="H244" i="6"/>
  <c r="T244" i="5" s="1"/>
  <c r="C241" i="12"/>
  <c r="M241" i="12"/>
  <c r="AO241" i="12"/>
  <c r="O241" i="12"/>
  <c r="C241" i="6"/>
  <c r="O241" i="5"/>
  <c r="X239" i="12"/>
  <c r="W239" i="12"/>
  <c r="M243" i="6"/>
  <c r="AF243" i="6" s="1"/>
  <c r="N243" i="6"/>
  <c r="L242" i="5"/>
  <c r="AM242" i="5"/>
  <c r="I242" i="12"/>
  <c r="Z242" i="5"/>
  <c r="D240" i="12"/>
  <c r="E240" i="6"/>
  <c r="Y240" i="12"/>
  <c r="J245" i="12"/>
  <c r="L245" i="12"/>
  <c r="D245" i="6"/>
  <c r="AD246" i="5"/>
  <c r="AE246" i="5"/>
  <c r="K246" i="5"/>
  <c r="G246" i="5"/>
  <c r="J246" i="5"/>
  <c r="A246" i="12"/>
  <c r="E246" i="5"/>
  <c r="F246" i="5"/>
  <c r="W246" i="5"/>
  <c r="H246" i="12" s="1"/>
  <c r="N246" i="5"/>
  <c r="H246" i="5"/>
  <c r="D246" i="5"/>
  <c r="B246" i="12" s="1"/>
  <c r="B246" i="5"/>
  <c r="C247" i="5" s="1"/>
  <c r="B246" i="6"/>
  <c r="AA241" i="5"/>
  <c r="AB241" i="5"/>
  <c r="M244" i="6" l="1"/>
  <c r="AU244" i="6" s="1"/>
  <c r="N241" i="12"/>
  <c r="K245" i="12"/>
  <c r="AD247" i="5"/>
  <c r="W247" i="5"/>
  <c r="H247" i="12" s="1"/>
  <c r="N247" i="5"/>
  <c r="E247" i="5"/>
  <c r="G247" i="5"/>
  <c r="A247" i="12"/>
  <c r="AE247" i="5"/>
  <c r="C248" i="5"/>
  <c r="B247" i="5"/>
  <c r="H247" i="5"/>
  <c r="B247" i="6"/>
  <c r="F247" i="5"/>
  <c r="H245" i="6"/>
  <c r="T245" i="5" s="1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D246" i="6"/>
  <c r="L246" i="12"/>
  <c r="J246" i="12"/>
  <c r="AK243" i="6"/>
  <c r="AG243" i="6"/>
  <c r="AC243" i="6"/>
  <c r="Y241" i="12"/>
  <c r="G244" i="12"/>
  <c r="X244" i="5"/>
  <c r="AJ243" i="6"/>
  <c r="AD243" i="6"/>
  <c r="AG244" i="6" l="1"/>
  <c r="BD244" i="6"/>
  <c r="AV244" i="6"/>
  <c r="AY244" i="6"/>
  <c r="AK244" i="6"/>
  <c r="BE244" i="6"/>
  <c r="AO244" i="6"/>
  <c r="AF244" i="6"/>
  <c r="BB244" i="6"/>
  <c r="AT244" i="6"/>
  <c r="AB244" i="6"/>
  <c r="AX244" i="6"/>
  <c r="BG244" i="6"/>
  <c r="AR244" i="6"/>
  <c r="AC244" i="6"/>
  <c r="AN244" i="6"/>
  <c r="AM244" i="6"/>
  <c r="AI244" i="6"/>
  <c r="AP244" i="6"/>
  <c r="AH244" i="6"/>
  <c r="AZ244" i="6"/>
  <c r="AQ244" i="6"/>
  <c r="AE244" i="6"/>
  <c r="AS244" i="6"/>
  <c r="BC244" i="6"/>
  <c r="AJ244" i="6"/>
  <c r="BA244" i="6"/>
  <c r="AD244" i="6"/>
  <c r="BF244" i="6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X241" i="12"/>
  <c r="W241" i="12"/>
  <c r="K246" i="12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N245" i="6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C249" i="5"/>
  <c r="N248" i="5"/>
  <c r="AE248" i="5"/>
  <c r="E248" i="5"/>
  <c r="AD248" i="5"/>
  <c r="A246" i="6"/>
  <c r="N246" i="6" s="1"/>
  <c r="AB243" i="5"/>
  <c r="AA243" i="5"/>
  <c r="C243" i="6"/>
  <c r="O243" i="5"/>
  <c r="AD245" i="6"/>
  <c r="AJ245" i="6"/>
  <c r="AC245" i="6"/>
  <c r="AH245" i="6"/>
  <c r="AI245" i="6"/>
  <c r="AF245" i="6"/>
  <c r="D247" i="6"/>
  <c r="Y243" i="12" l="1"/>
  <c r="W243" i="12" s="1"/>
  <c r="E243" i="6"/>
  <c r="D243" i="12"/>
  <c r="J248" i="12"/>
  <c r="L248" i="12"/>
  <c r="AM245" i="5"/>
  <c r="I245" i="12"/>
  <c r="L245" i="5"/>
  <c r="Z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A247" i="6"/>
  <c r="N247" i="6" s="1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AD249" i="5"/>
  <c r="D249" i="5"/>
  <c r="B249" i="12" s="1"/>
  <c r="N249" i="5"/>
  <c r="N243" i="12"/>
  <c r="G246" i="12"/>
  <c r="X246" i="5"/>
  <c r="AB244" i="5"/>
  <c r="AA244" i="5"/>
  <c r="C244" i="6"/>
  <c r="O244" i="5"/>
  <c r="AF246" i="6" l="1"/>
  <c r="Y244" i="12"/>
  <c r="X244" i="12" s="1"/>
  <c r="X243" i="12"/>
  <c r="A248" i="6"/>
  <c r="K248" i="12"/>
  <c r="E244" i="6"/>
  <c r="D244" i="12"/>
  <c r="J249" i="12"/>
  <c r="L249" i="12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E250" i="5"/>
  <c r="A250" i="12"/>
  <c r="H250" i="5"/>
  <c r="G247" i="12"/>
  <c r="N244" i="12"/>
  <c r="U242" i="12"/>
  <c r="T242" i="12"/>
  <c r="V242" i="12"/>
  <c r="C245" i="12"/>
  <c r="AO245" i="12"/>
  <c r="O245" i="12"/>
  <c r="M245" i="12"/>
  <c r="W244" i="12" l="1"/>
  <c r="U244" i="12" s="1"/>
  <c r="M248" i="6"/>
  <c r="BG248" i="6" s="1"/>
  <c r="A249" i="6"/>
  <c r="Y245" i="12"/>
  <c r="W245" i="12" s="1"/>
  <c r="K249" i="12"/>
  <c r="C246" i="6"/>
  <c r="O246" i="5"/>
  <c r="N245" i="12"/>
  <c r="J250" i="12"/>
  <c r="L250" i="12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E251" i="5"/>
  <c r="J251" i="5"/>
  <c r="H249" i="6"/>
  <c r="T249" i="5" s="1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M249" i="6" l="1"/>
  <c r="BA249" i="6" s="1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K250" i="12"/>
  <c r="G249" i="12"/>
  <c r="X249" i="5"/>
  <c r="D251" i="6"/>
  <c r="G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H250" i="6"/>
  <c r="T250" i="5" s="1"/>
  <c r="T245" i="12"/>
  <c r="V245" i="12"/>
  <c r="U245" i="12"/>
  <c r="I248" i="12"/>
  <c r="L248" i="5"/>
  <c r="AM248" i="5"/>
  <c r="Z248" i="5"/>
  <c r="N246" i="12"/>
  <c r="J251" i="12"/>
  <c r="L251" i="12"/>
  <c r="E246" i="6"/>
  <c r="D246" i="12"/>
  <c r="A250" i="6"/>
  <c r="AD249" i="6" l="1"/>
  <c r="AK249" i="6"/>
  <c r="BF249" i="6"/>
  <c r="AU249" i="6"/>
  <c r="AP249" i="6"/>
  <c r="BE249" i="6"/>
  <c r="AG249" i="6"/>
  <c r="AN249" i="6"/>
  <c r="AI249" i="6"/>
  <c r="AO249" i="6"/>
  <c r="BB249" i="6"/>
  <c r="AZ249" i="6"/>
  <c r="AE249" i="6"/>
  <c r="AY249" i="6"/>
  <c r="AQ249" i="6"/>
  <c r="AX249" i="6"/>
  <c r="AS249" i="6"/>
  <c r="AV249" i="6"/>
  <c r="AB249" i="6"/>
  <c r="AR249" i="6"/>
  <c r="AM249" i="6"/>
  <c r="AC249" i="6"/>
  <c r="AT249" i="6"/>
  <c r="BC249" i="6"/>
  <c r="AF249" i="6"/>
  <c r="AH249" i="6"/>
  <c r="AJ249" i="6"/>
  <c r="BG249" i="6"/>
  <c r="BD249" i="6"/>
  <c r="W246" i="12"/>
  <c r="T246" i="12" s="1"/>
  <c r="C248" i="12"/>
  <c r="O248" i="12"/>
  <c r="AO248" i="12"/>
  <c r="M248" i="12"/>
  <c r="F253" i="5"/>
  <c r="N253" i="5"/>
  <c r="E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AM249" i="5"/>
  <c r="L249" i="5"/>
  <c r="I249" i="12"/>
  <c r="Z249" i="5"/>
  <c r="K251" i="12"/>
  <c r="A251" i="6"/>
  <c r="AB248" i="5"/>
  <c r="C248" i="6"/>
  <c r="G250" i="12"/>
  <c r="X250" i="5"/>
  <c r="M250" i="6"/>
  <c r="AK250" i="6" s="1"/>
  <c r="L252" i="12"/>
  <c r="J252" i="12"/>
  <c r="H251" i="6"/>
  <c r="T251" i="5" s="1"/>
  <c r="M251" i="6" l="1"/>
  <c r="BE251" i="6" s="1"/>
  <c r="V246" i="12"/>
  <c r="U246" i="12"/>
  <c r="A252" i="6"/>
  <c r="M252" i="6" s="1"/>
  <c r="BE252" i="6" s="1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A254" i="12"/>
  <c r="E254" i="5"/>
  <c r="K254" i="5"/>
  <c r="B254" i="6"/>
  <c r="D253" i="6"/>
  <c r="N248" i="12"/>
  <c r="G251" i="12"/>
  <c r="X251" i="5"/>
  <c r="K252" i="12"/>
  <c r="AB250" i="6"/>
  <c r="AM250" i="5"/>
  <c r="L250" i="5"/>
  <c r="I250" i="12"/>
  <c r="Z250" i="5"/>
  <c r="AA249" i="5"/>
  <c r="AB249" i="5"/>
  <c r="C249" i="12"/>
  <c r="M249" i="12"/>
  <c r="O249" i="12"/>
  <c r="AO249" i="12"/>
  <c r="L253" i="12"/>
  <c r="J253" i="12"/>
  <c r="Y248" i="12"/>
  <c r="AI251" i="6" l="1"/>
  <c r="AE251" i="6"/>
  <c r="AS251" i="6"/>
  <c r="BC251" i="6"/>
  <c r="BA251" i="6"/>
  <c r="BF251" i="6"/>
  <c r="AH251" i="6"/>
  <c r="AU251" i="6"/>
  <c r="AF251" i="6"/>
  <c r="AQ251" i="6"/>
  <c r="AR251" i="6"/>
  <c r="AK251" i="6"/>
  <c r="AP251" i="6"/>
  <c r="AC251" i="6"/>
  <c r="AD251" i="6"/>
  <c r="AG251" i="6"/>
  <c r="AO251" i="6"/>
  <c r="BG251" i="6"/>
  <c r="AB251" i="6"/>
  <c r="BD251" i="6"/>
  <c r="BB251" i="6"/>
  <c r="AJ251" i="6"/>
  <c r="AX251" i="6"/>
  <c r="AN251" i="6"/>
  <c r="AM251" i="6"/>
  <c r="AT251" i="6"/>
  <c r="AV251" i="6"/>
  <c r="AY251" i="6"/>
  <c r="AZ251" i="6"/>
  <c r="BD252" i="6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AA250" i="5"/>
  <c r="AB250" i="5"/>
  <c r="C250" i="6"/>
  <c r="O250" i="5"/>
  <c r="I251" i="12"/>
  <c r="L251" i="5"/>
  <c r="AM251" i="5"/>
  <c r="Z251" i="5"/>
  <c r="D254" i="6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C250" i="12"/>
  <c r="M250" i="12"/>
  <c r="O250" i="12"/>
  <c r="AO250" i="12"/>
  <c r="H253" i="6"/>
  <c r="T253" i="5" s="1"/>
  <c r="J254" i="12"/>
  <c r="L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254" i="6" l="1"/>
  <c r="M254" i="6" s="1"/>
  <c r="AV254" i="6" s="1"/>
  <c r="X249" i="12"/>
  <c r="Y250" i="12"/>
  <c r="W250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N256" i="5"/>
  <c r="K256" i="5"/>
  <c r="J256" i="5"/>
  <c r="E256" i="5"/>
  <c r="G256" i="5"/>
  <c r="B256" i="5"/>
  <c r="AD256" i="5"/>
  <c r="B256" i="6"/>
  <c r="D255" i="6"/>
  <c r="H254" i="6"/>
  <c r="T254" i="5" s="1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J255" i="12"/>
  <c r="L255" i="12"/>
  <c r="AB251" i="5"/>
  <c r="AA251" i="5"/>
  <c r="C251" i="12"/>
  <c r="O251" i="12"/>
  <c r="AO251" i="12"/>
  <c r="M251" i="12"/>
  <c r="A255" i="6" l="1"/>
  <c r="X250" i="12"/>
  <c r="AG254" i="6"/>
  <c r="AH254" i="6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C252" i="6"/>
  <c r="O252" i="5"/>
  <c r="E251" i="6"/>
  <c r="D251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M255" i="6"/>
  <c r="AQ255" i="6" s="1"/>
  <c r="D256" i="6"/>
  <c r="A256" i="6" s="1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Y252" i="12" l="1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AT255" i="6"/>
  <c r="AN255" i="6"/>
  <c r="BD255" i="6"/>
  <c r="AV255" i="6"/>
  <c r="AH255" i="6"/>
  <c r="AM255" i="6"/>
  <c r="N252" i="12"/>
  <c r="AB255" i="6"/>
  <c r="AK255" i="6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H258" i="5"/>
  <c r="AD258" i="5"/>
  <c r="L257" i="12"/>
  <c r="J257" i="12"/>
  <c r="D252" i="12"/>
  <c r="E252" i="6"/>
  <c r="AA253" i="5"/>
  <c r="AB253" i="5"/>
  <c r="C253" i="6"/>
  <c r="O253" i="5"/>
  <c r="M256" i="6"/>
  <c r="BF256" i="6" s="1"/>
  <c r="H256" i="6"/>
  <c r="T256" i="5" s="1"/>
  <c r="AG255" i="6"/>
  <c r="AF255" i="6"/>
  <c r="AI255" i="6"/>
  <c r="AC255" i="6"/>
  <c r="AJ255" i="6"/>
  <c r="L254" i="5"/>
  <c r="I254" i="12"/>
  <c r="AM254" i="5"/>
  <c r="Z254" i="5"/>
  <c r="D257" i="6"/>
  <c r="A257" i="6" s="1"/>
  <c r="C253" i="12"/>
  <c r="AO253" i="12"/>
  <c r="O253" i="12"/>
  <c r="M253" i="12"/>
  <c r="T251" i="12" l="1"/>
  <c r="W252" i="12"/>
  <c r="V252" i="12" s="1"/>
  <c r="V251" i="12"/>
  <c r="AJ256" i="6"/>
  <c r="AP256" i="6"/>
  <c r="BG256" i="6"/>
  <c r="BA256" i="6"/>
  <c r="BE256" i="6"/>
  <c r="AS256" i="6"/>
  <c r="AV256" i="6"/>
  <c r="Y253" i="12"/>
  <c r="W253" i="12" s="1"/>
  <c r="H257" i="6"/>
  <c r="T257" i="5" s="1"/>
  <c r="M257" i="6"/>
  <c r="BG257" i="6" s="1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D258" i="6"/>
  <c r="J258" i="12"/>
  <c r="L258" i="12"/>
  <c r="I255" i="12"/>
  <c r="L255" i="5"/>
  <c r="AM255" i="5"/>
  <c r="Z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AE259" i="5"/>
  <c r="D259" i="5"/>
  <c r="B259" i="12" s="1"/>
  <c r="AD259" i="5"/>
  <c r="E259" i="5"/>
  <c r="T252" i="12" l="1"/>
  <c r="U252" i="12"/>
  <c r="Y254" i="12"/>
  <c r="X254" i="12" s="1"/>
  <c r="AQ257" i="6"/>
  <c r="AR257" i="6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H258" i="6"/>
  <c r="T258" i="5" s="1"/>
  <c r="L256" i="5"/>
  <c r="I256" i="12"/>
  <c r="AM256" i="5"/>
  <c r="Z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Y255" i="12" l="1"/>
  <c r="W255" i="12" s="1"/>
  <c r="W254" i="12"/>
  <c r="T254" i="12" s="1"/>
  <c r="K259" i="12"/>
  <c r="A259" i="6"/>
  <c r="C256" i="6"/>
  <c r="O256" i="5"/>
  <c r="M258" i="6"/>
  <c r="AD258" i="6" s="1"/>
  <c r="D260" i="6"/>
  <c r="H259" i="6"/>
  <c r="T259" i="5" s="1"/>
  <c r="I257" i="12"/>
  <c r="AM257" i="5"/>
  <c r="L257" i="5"/>
  <c r="Z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A261" i="12"/>
  <c r="U254" i="12" l="1"/>
  <c r="V254" i="12"/>
  <c r="X255" i="12"/>
  <c r="N256" i="12"/>
  <c r="M259" i="6"/>
  <c r="AJ259" i="6" s="1"/>
  <c r="A260" i="6"/>
  <c r="AJ258" i="6"/>
  <c r="K260" i="12"/>
  <c r="J261" i="12"/>
  <c r="L261" i="12"/>
  <c r="T255" i="12"/>
  <c r="U255" i="12"/>
  <c r="V255" i="12"/>
  <c r="L258" i="5"/>
  <c r="AM258" i="5"/>
  <c r="I258" i="12"/>
  <c r="Z258" i="5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261" i="6" l="1"/>
  <c r="M261" i="6" s="1"/>
  <c r="BA261" i="6" s="1"/>
  <c r="AD259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D257" i="12"/>
  <c r="E257" i="6"/>
  <c r="W256" i="12"/>
  <c r="X256" i="12"/>
  <c r="L259" i="5"/>
  <c r="AM259" i="5"/>
  <c r="I259" i="12"/>
  <c r="Z259" i="5"/>
  <c r="Y257" i="12"/>
  <c r="D262" i="6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AD260" i="6" l="1"/>
  <c r="BA260" i="6"/>
  <c r="AC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J264" i="5"/>
  <c r="D263" i="6"/>
  <c r="J263" i="12"/>
  <c r="L263" i="12"/>
  <c r="H262" i="6"/>
  <c r="T262" i="5" s="1"/>
  <c r="D258" i="12"/>
  <c r="E258" i="6"/>
  <c r="Y258" i="12"/>
  <c r="L260" i="5"/>
  <c r="AM260" i="5"/>
  <c r="I260" i="12"/>
  <c r="Z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N259" i="12" l="1"/>
  <c r="A263" i="6"/>
  <c r="M263" i="6" s="1"/>
  <c r="AM263" i="6" s="1"/>
  <c r="M262" i="6"/>
  <c r="AH262" i="6" s="1"/>
  <c r="K263" i="12"/>
  <c r="D259" i="12"/>
  <c r="E259" i="6"/>
  <c r="W258" i="12"/>
  <c r="X258" i="12"/>
  <c r="L264" i="12"/>
  <c r="J264" i="12"/>
  <c r="D264" i="6"/>
  <c r="AM261" i="5"/>
  <c r="I261" i="12"/>
  <c r="L261" i="5"/>
  <c r="Z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D265" i="5"/>
  <c r="B265" i="12" s="1"/>
  <c r="AD265" i="5"/>
  <c r="K265" i="5"/>
  <c r="AE265" i="5"/>
  <c r="B265" i="5"/>
  <c r="A265" i="12"/>
  <c r="H265" i="5"/>
  <c r="J265" i="5"/>
  <c r="G265" i="5"/>
  <c r="F265" i="5"/>
  <c r="E265" i="5"/>
  <c r="N265" i="5"/>
  <c r="W265" i="5"/>
  <c r="H265" i="12" s="1"/>
  <c r="B265" i="6"/>
  <c r="A5" i="5"/>
  <c r="J247" i="5" l="1"/>
  <c r="K247" i="5"/>
  <c r="J215" i="5"/>
  <c r="K215" i="5"/>
  <c r="K194" i="5"/>
  <c r="J194" i="5"/>
  <c r="K169" i="5"/>
  <c r="J169" i="5"/>
  <c r="O20" i="5"/>
  <c r="E20" i="6" s="1"/>
  <c r="J177" i="5"/>
  <c r="K177" i="5"/>
  <c r="J141" i="5"/>
  <c r="K141" i="5"/>
  <c r="K157" i="5"/>
  <c r="J157" i="5"/>
  <c r="O21" i="5"/>
  <c r="E21" i="6" s="1"/>
  <c r="O18" i="5"/>
  <c r="E18" i="6" s="1"/>
  <c r="O19" i="5"/>
  <c r="K126" i="5"/>
  <c r="J126" i="5"/>
  <c r="J105" i="5"/>
  <c r="K105" i="5"/>
  <c r="J70" i="5"/>
  <c r="K70" i="5"/>
  <c r="K45" i="5"/>
  <c r="J45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D260" i="12"/>
  <c r="E260" i="6"/>
  <c r="N260" i="12"/>
  <c r="C261" i="12"/>
  <c r="AO261" i="12"/>
  <c r="O261" i="12"/>
  <c r="M261" i="12"/>
  <c r="H264" i="6"/>
  <c r="T264" i="5" s="1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247" i="5" l="1"/>
  <c r="D215" i="5"/>
  <c r="B215" i="12" s="1"/>
  <c r="D177" i="5"/>
  <c r="B177" i="12" s="1"/>
  <c r="D194" i="5"/>
  <c r="B194" i="12" s="1"/>
  <c r="D169" i="5"/>
  <c r="D20" i="12"/>
  <c r="D141" i="5"/>
  <c r="D157" i="5"/>
  <c r="B157" i="12" s="1"/>
  <c r="D21" i="12"/>
  <c r="D18" i="12"/>
  <c r="E19" i="6"/>
  <c r="D19" i="12"/>
  <c r="D126" i="5"/>
  <c r="B126" i="12" s="1"/>
  <c r="D105" i="5"/>
  <c r="B105" i="12" s="1"/>
  <c r="D70" i="5"/>
  <c r="B70" i="12" s="1"/>
  <c r="D45" i="5"/>
  <c r="B45" i="12" s="1"/>
  <c r="AO21" i="13"/>
  <c r="AL21" i="13"/>
  <c r="AL12" i="13"/>
  <c r="AO12" i="13"/>
  <c r="AO18" i="13"/>
  <c r="AL18" i="13"/>
  <c r="AO19" i="13"/>
  <c r="AL19" i="13"/>
  <c r="AO22" i="13"/>
  <c r="AL22" i="13"/>
  <c r="AO23" i="13"/>
  <c r="AL23" i="13"/>
  <c r="AO20" i="13"/>
  <c r="AL20" i="13"/>
  <c r="AO15" i="13"/>
  <c r="AL15" i="13"/>
  <c r="AO17" i="13"/>
  <c r="AL17" i="13"/>
  <c r="AO16" i="13"/>
  <c r="AL16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O15" i="11"/>
  <c r="G15" i="11"/>
  <c r="F15" i="13" s="1"/>
  <c r="C15" i="13"/>
  <c r="AA15" i="11"/>
  <c r="AB15" i="11"/>
  <c r="N15" i="11" s="1"/>
  <c r="B21" i="13"/>
  <c r="AH21" i="13" s="1"/>
  <c r="C17" i="13"/>
  <c r="G17" i="11"/>
  <c r="F17" i="13" s="1"/>
  <c r="AB17" i="11"/>
  <c r="N17" i="11" s="1"/>
  <c r="O17" i="11"/>
  <c r="AA17" i="11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AB18" i="11"/>
  <c r="N18" i="11" s="1"/>
  <c r="C18" i="13"/>
  <c r="G18" i="11"/>
  <c r="F18" i="13" s="1"/>
  <c r="O18" i="11"/>
  <c r="AA18" i="11"/>
  <c r="AM263" i="5"/>
  <c r="L263" i="5"/>
  <c r="I263" i="12"/>
  <c r="Z263" i="5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O16" i="11"/>
  <c r="K16" i="11"/>
  <c r="J16" i="13" s="1"/>
  <c r="AB16" i="11"/>
  <c r="N16" i="11" s="1"/>
  <c r="AA16" i="1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B15" i="13"/>
  <c r="AE15" i="13" s="1"/>
  <c r="AA12" i="11"/>
  <c r="C12" i="13"/>
  <c r="O12" i="11"/>
  <c r="K12" i="11"/>
  <c r="J12" i="13" s="1"/>
  <c r="G12" i="11"/>
  <c r="F12" i="13" s="1"/>
  <c r="AB12" i="11"/>
  <c r="N12" i="11" s="1"/>
  <c r="B17" i="13"/>
  <c r="AF17" i="13" s="1"/>
  <c r="B16" i="13"/>
  <c r="AF16" i="13" s="1"/>
  <c r="B247" i="12" l="1"/>
  <c r="B169" i="12"/>
  <c r="X169" i="5"/>
  <c r="AB169" i="5"/>
  <c r="B141" i="12"/>
  <c r="X141" i="5"/>
  <c r="AB141" i="5"/>
  <c r="X261" i="12"/>
  <c r="F1" i="8"/>
  <c r="B16" i="12"/>
  <c r="AJ16" i="13"/>
  <c r="AN16" i="13"/>
  <c r="AM16" i="13"/>
  <c r="AJ17" i="13"/>
  <c r="AN17" i="13"/>
  <c r="AM17" i="13"/>
  <c r="AJ15" i="13"/>
  <c r="AN15" i="13"/>
  <c r="AM15" i="13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J18" i="13"/>
  <c r="AN18" i="13"/>
  <c r="AM18" i="13"/>
  <c r="AM12" i="13"/>
  <c r="AJ12" i="13"/>
  <c r="AJ21" i="13"/>
  <c r="AN21" i="13"/>
  <c r="AM21" i="13"/>
  <c r="AK16" i="13"/>
  <c r="AK17" i="13"/>
  <c r="AK15" i="13"/>
  <c r="AK20" i="13"/>
  <c r="AK23" i="13"/>
  <c r="AK22" i="13"/>
  <c r="AK19" i="13"/>
  <c r="AK18" i="13"/>
  <c r="AK12" i="13"/>
  <c r="AN12" i="13"/>
  <c r="AK21" i="13"/>
  <c r="E21" i="8"/>
  <c r="I20" i="8" s="1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L32" i="5" s="1"/>
  <c r="X43" i="5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C16" i="11"/>
  <c r="Z16" i="11"/>
  <c r="L16" i="13"/>
  <c r="W16" i="11"/>
  <c r="B22" i="12"/>
  <c r="X22" i="5"/>
  <c r="I22" i="5" s="1"/>
  <c r="I23" i="5" s="1"/>
  <c r="B74" i="12"/>
  <c r="Q1" i="8"/>
  <c r="R3" i="8"/>
  <c r="R19" i="8"/>
  <c r="P17" i="8"/>
  <c r="G265" i="12"/>
  <c r="X265" i="5"/>
  <c r="X74" i="5" s="1"/>
  <c r="X70" i="5" s="1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C18" i="11"/>
  <c r="Z18" i="11"/>
  <c r="W18" i="11"/>
  <c r="L18" i="13"/>
  <c r="O18" i="13"/>
  <c r="S18" i="13"/>
  <c r="U18" i="13"/>
  <c r="T18" i="13"/>
  <c r="R18" i="13"/>
  <c r="M18" i="13"/>
  <c r="K18" i="13"/>
  <c r="L19" i="13"/>
  <c r="W19" i="11"/>
  <c r="C19" i="11"/>
  <c r="Z19" i="11"/>
  <c r="AC12" i="13"/>
  <c r="AF12" i="13"/>
  <c r="W17" i="11"/>
  <c r="L17" i="13"/>
  <c r="C17" i="11"/>
  <c r="Z17" i="11"/>
  <c r="AD21" i="13"/>
  <c r="AF21" i="13"/>
  <c r="O15" i="13"/>
  <c r="U15" i="13"/>
  <c r="R15" i="13"/>
  <c r="S15" i="13"/>
  <c r="K15" i="13"/>
  <c r="T15" i="13"/>
  <c r="M15" i="13"/>
  <c r="L15" i="13"/>
  <c r="W15" i="11"/>
  <c r="C15" i="11"/>
  <c r="Z15" i="11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M16" i="13"/>
  <c r="U16" i="13"/>
  <c r="T16" i="13"/>
  <c r="O16" i="13"/>
  <c r="S16" i="13"/>
  <c r="R16" i="13"/>
  <c r="B17" i="12"/>
  <c r="B53" i="12"/>
  <c r="X53" i="5"/>
  <c r="X45" i="5" s="1"/>
  <c r="I66" i="12"/>
  <c r="O66" i="12" s="1"/>
  <c r="AM66" i="5"/>
  <c r="L66" i="5"/>
  <c r="Z66" i="5"/>
  <c r="G2" i="8"/>
  <c r="G1" i="8"/>
  <c r="I2" i="8" s="1"/>
  <c r="O17" i="8"/>
  <c r="AM264" i="5"/>
  <c r="L264" i="5"/>
  <c r="I264" i="12"/>
  <c r="Z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C22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C24" i="10"/>
  <c r="A62" i="9"/>
  <c r="C58" i="9"/>
  <c r="A28" i="10"/>
  <c r="C47" i="10"/>
  <c r="A31" i="10"/>
  <c r="A59" i="9"/>
  <c r="A32" i="9"/>
  <c r="C20" i="9"/>
  <c r="C35" i="9"/>
  <c r="C16" i="10"/>
  <c r="C39" i="9"/>
  <c r="A56" i="10"/>
  <c r="C31" i="10"/>
  <c r="C52" i="10"/>
  <c r="C18" i="9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C21" i="10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C24" i="9"/>
  <c r="A40" i="10"/>
  <c r="A41" i="10"/>
  <c r="A54" i="9"/>
  <c r="A20" i="10"/>
  <c r="C36" i="9"/>
  <c r="C23" i="10"/>
  <c r="A49" i="10"/>
  <c r="A58" i="10"/>
  <c r="A34" i="10"/>
  <c r="A41" i="9"/>
  <c r="A23" i="10"/>
  <c r="A39" i="9"/>
  <c r="A20" i="9"/>
  <c r="C51" i="9"/>
  <c r="C22" i="10"/>
  <c r="A28" i="9"/>
  <c r="A1" i="10"/>
  <c r="C45" i="9"/>
  <c r="C54" i="10"/>
  <c r="A38" i="10"/>
  <c r="A43" i="10"/>
  <c r="C21" i="9"/>
  <c r="A44" i="9"/>
  <c r="C19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C23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17" i="10"/>
  <c r="C45" i="10"/>
  <c r="C37" i="9"/>
  <c r="C53" i="10"/>
  <c r="C28" i="9"/>
  <c r="A60" i="9"/>
  <c r="A27" i="9"/>
  <c r="C31" i="9"/>
  <c r="A25" i="10"/>
  <c r="C32" i="9"/>
  <c r="A44" i="10"/>
  <c r="A37" i="10"/>
  <c r="A53" i="9"/>
  <c r="A37" i="9"/>
  <c r="C56" i="10"/>
  <c r="C30" i="10"/>
  <c r="A52" i="10"/>
  <c r="A35" i="10"/>
  <c r="A36" i="10"/>
  <c r="C20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C18" i="10"/>
  <c r="A17" i="10"/>
  <c r="A22" i="9"/>
  <c r="C61" i="9"/>
  <c r="A48" i="10"/>
  <c r="C17" i="9"/>
  <c r="C19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U17" i="13"/>
  <c r="R17" i="13"/>
  <c r="T17" i="13"/>
  <c r="M17" i="13"/>
  <c r="O17" i="13"/>
  <c r="S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X247" i="5" l="1"/>
  <c r="L43" i="5"/>
  <c r="X215" i="5"/>
  <c r="X194" i="5"/>
  <c r="I169" i="12"/>
  <c r="L169" i="5"/>
  <c r="AM169" i="5"/>
  <c r="Z169" i="5"/>
  <c r="M169" i="12"/>
  <c r="AO169" i="12"/>
  <c r="O169" i="12"/>
  <c r="X177" i="5"/>
  <c r="L141" i="5"/>
  <c r="I141" i="12"/>
  <c r="AM141" i="5"/>
  <c r="Z141" i="5"/>
  <c r="AO141" i="12"/>
  <c r="M141" i="12"/>
  <c r="O141" i="12"/>
  <c r="X157" i="5"/>
  <c r="I24" i="5"/>
  <c r="O23" i="5"/>
  <c r="X126" i="5"/>
  <c r="X105" i="5"/>
  <c r="Z70" i="5"/>
  <c r="I70" i="12"/>
  <c r="L70" i="5"/>
  <c r="AM70" i="5"/>
  <c r="I45" i="12"/>
  <c r="L45" i="5"/>
  <c r="AM45" i="5"/>
  <c r="Z45" i="5"/>
  <c r="I43" i="12"/>
  <c r="O43" i="12" s="1"/>
  <c r="AM32" i="5"/>
  <c r="AO66" i="12"/>
  <c r="Y66" i="12" s="1"/>
  <c r="X17" i="5"/>
  <c r="AM17" i="5" s="1"/>
  <c r="L20" i="8"/>
  <c r="E24" i="8" s="1"/>
  <c r="I23" i="8" s="1"/>
  <c r="M66" i="12"/>
  <c r="N66" i="12" s="1"/>
  <c r="AA66" i="5"/>
  <c r="AB66" i="5"/>
  <c r="AM43" i="5"/>
  <c r="I32" i="12"/>
  <c r="C32" i="12" s="1"/>
  <c r="Z43" i="5"/>
  <c r="Z32" i="5"/>
  <c r="AH14" i="13"/>
  <c r="AE14" i="13"/>
  <c r="Y263" i="12"/>
  <c r="X263" i="12" s="1"/>
  <c r="W262" i="12"/>
  <c r="X262" i="12"/>
  <c r="C43" i="6"/>
  <c r="O43" i="5"/>
  <c r="L43" i="12"/>
  <c r="J43" i="12"/>
  <c r="D263" i="12"/>
  <c r="E263" i="6"/>
  <c r="C264" i="6"/>
  <c r="O264" i="5"/>
  <c r="P12" i="13"/>
  <c r="N12" i="13"/>
  <c r="C32" i="6"/>
  <c r="O32" i="5"/>
  <c r="D20" i="13"/>
  <c r="D15" i="13"/>
  <c r="D19" i="13"/>
  <c r="D18" i="13"/>
  <c r="L74" i="5"/>
  <c r="I74" i="12"/>
  <c r="AM74" i="5"/>
  <c r="Z74" i="5"/>
  <c r="I22" i="12"/>
  <c r="AM22" i="5"/>
  <c r="L22" i="5"/>
  <c r="Z22" i="5"/>
  <c r="R20" i="8"/>
  <c r="D22" i="13"/>
  <c r="P23" i="13"/>
  <c r="N23" i="13"/>
  <c r="P17" i="13"/>
  <c r="N17" i="13"/>
  <c r="P19" i="13"/>
  <c r="N19" i="13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N16" i="13"/>
  <c r="P16" i="13"/>
  <c r="D21" i="13"/>
  <c r="N22" i="13"/>
  <c r="P22" i="13"/>
  <c r="J32" i="12"/>
  <c r="L32" i="12"/>
  <c r="N20" i="13"/>
  <c r="P20" i="13"/>
  <c r="D23" i="13"/>
  <c r="P15" i="13"/>
  <c r="N15" i="13"/>
  <c r="D17" i="13"/>
  <c r="P18" i="13"/>
  <c r="N18" i="13"/>
  <c r="N263" i="12"/>
  <c r="L265" i="5"/>
  <c r="I265" i="12"/>
  <c r="AM265" i="5"/>
  <c r="X15" i="5"/>
  <c r="I15" i="12" s="1"/>
  <c r="Z265" i="5"/>
  <c r="X16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6" i="13"/>
  <c r="N21" i="13"/>
  <c r="P21" i="13"/>
  <c r="D12" i="13"/>
  <c r="V12" i="13"/>
  <c r="AM247" i="5" l="1"/>
  <c r="L247" i="5"/>
  <c r="I247" i="12"/>
  <c r="Z247" i="5"/>
  <c r="I215" i="12"/>
  <c r="L215" i="5"/>
  <c r="AM215" i="5"/>
  <c r="Z215" i="5"/>
  <c r="I194" i="12"/>
  <c r="L194" i="5"/>
  <c r="AM194" i="5"/>
  <c r="Z194" i="5"/>
  <c r="N169" i="12"/>
  <c r="Y169" i="12"/>
  <c r="O169" i="5"/>
  <c r="C169" i="6"/>
  <c r="J169" i="12"/>
  <c r="L169" i="12"/>
  <c r="C169" i="12"/>
  <c r="Z177" i="5"/>
  <c r="I177" i="12"/>
  <c r="AM177" i="5"/>
  <c r="L177" i="5"/>
  <c r="Y141" i="12"/>
  <c r="W141" i="12" s="1"/>
  <c r="N141" i="12"/>
  <c r="L141" i="12"/>
  <c r="J141" i="12"/>
  <c r="C141" i="12"/>
  <c r="C141" i="6"/>
  <c r="O141" i="5"/>
  <c r="L157" i="5"/>
  <c r="I157" i="12"/>
  <c r="AM157" i="5"/>
  <c r="Z157" i="5"/>
  <c r="I25" i="5"/>
  <c r="O24" i="5"/>
  <c r="D23" i="12"/>
  <c r="E23" i="6"/>
  <c r="I126" i="12"/>
  <c r="L126" i="5"/>
  <c r="AM126" i="5"/>
  <c r="Z126" i="5"/>
  <c r="AB105" i="5"/>
  <c r="AM105" i="5"/>
  <c r="I105" i="12"/>
  <c r="L105" i="5"/>
  <c r="Z105" i="5"/>
  <c r="C70" i="6"/>
  <c r="O70" i="5"/>
  <c r="H23" i="8" s="1"/>
  <c r="L70" i="12"/>
  <c r="J70" i="12"/>
  <c r="C70" i="12"/>
  <c r="C45" i="6"/>
  <c r="O45" i="5"/>
  <c r="L45" i="12"/>
  <c r="J45" i="12"/>
  <c r="C45" i="12"/>
  <c r="C43" i="12"/>
  <c r="AO43" i="12"/>
  <c r="Y43" i="12" s="1"/>
  <c r="W43" i="12" s="1"/>
  <c r="U43" i="12" s="1"/>
  <c r="M43" i="12"/>
  <c r="N43" i="12" s="1"/>
  <c r="Z17" i="5"/>
  <c r="R17" i="8"/>
  <c r="F17" i="8" s="1"/>
  <c r="I17" i="12"/>
  <c r="C17" i="12" s="1"/>
  <c r="L17" i="5"/>
  <c r="O17" i="5" s="1"/>
  <c r="P20" i="8"/>
  <c r="R22" i="8"/>
  <c r="O20" i="8"/>
  <c r="L23" i="8"/>
  <c r="R23" i="8"/>
  <c r="AB53" i="5"/>
  <c r="AB43" i="5"/>
  <c r="AA43" i="5"/>
  <c r="AB32" i="5"/>
  <c r="AA32" i="5"/>
  <c r="AO32" i="12"/>
  <c r="M32" i="12"/>
  <c r="O32" i="12"/>
  <c r="AO22" i="12"/>
  <c r="AB22" i="5"/>
  <c r="W263" i="12"/>
  <c r="U263" i="12" s="1"/>
  <c r="K32" i="12"/>
  <c r="K43" i="12"/>
  <c r="Y264" i="12"/>
  <c r="X264" i="12" s="1"/>
  <c r="I16" i="12"/>
  <c r="Z16" i="5"/>
  <c r="L16" i="5"/>
  <c r="AM16" i="5"/>
  <c r="O14" i="11"/>
  <c r="R14" i="8"/>
  <c r="AA265" i="5"/>
  <c r="AB265" i="5"/>
  <c r="AB215" i="5" s="1"/>
  <c r="U73" i="10"/>
  <c r="AA73" i="10"/>
  <c r="S73" i="10"/>
  <c r="AE73" i="10"/>
  <c r="Y73" i="10"/>
  <c r="O73" i="10"/>
  <c r="AC73" i="10"/>
  <c r="W73" i="10"/>
  <c r="I73" i="10"/>
  <c r="AM15" i="5"/>
  <c r="Z15" i="5"/>
  <c r="K73" i="10"/>
  <c r="M73" i="10"/>
  <c r="Q73" i="10"/>
  <c r="C265" i="12"/>
  <c r="AO265" i="12"/>
  <c r="AO105" i="12" s="1"/>
  <c r="O265" i="12"/>
  <c r="O105" i="12" s="1"/>
  <c r="M265" i="12"/>
  <c r="M157" i="12" s="1"/>
  <c r="C53" i="12"/>
  <c r="J53" i="12"/>
  <c r="M53" i="12" s="1"/>
  <c r="L53" i="12"/>
  <c r="O53" i="12" s="1"/>
  <c r="D66" i="12"/>
  <c r="E66" i="6"/>
  <c r="X66" i="12"/>
  <c r="W66" i="12"/>
  <c r="F20" i="8"/>
  <c r="F21" i="8"/>
  <c r="C74" i="12"/>
  <c r="J74" i="12"/>
  <c r="L74" i="12"/>
  <c r="E264" i="6"/>
  <c r="D264" i="12"/>
  <c r="D43" i="12"/>
  <c r="E43" i="6"/>
  <c r="C265" i="6"/>
  <c r="O265" i="5"/>
  <c r="C53" i="6"/>
  <c r="K66" i="12"/>
  <c r="N264" i="12"/>
  <c r="C22" i="6"/>
  <c r="O22" i="5"/>
  <c r="C22" i="12"/>
  <c r="J22" i="12"/>
  <c r="M22" i="12" s="1"/>
  <c r="L22" i="12"/>
  <c r="O22" i="12" s="1"/>
  <c r="C74" i="6"/>
  <c r="D32" i="12"/>
  <c r="E32" i="6"/>
  <c r="T262" i="12"/>
  <c r="U262" i="12"/>
  <c r="V262" i="12"/>
  <c r="L247" i="12" l="1"/>
  <c r="J247" i="12"/>
  <c r="C247" i="12"/>
  <c r="O247" i="5"/>
  <c r="C247" i="6"/>
  <c r="M247" i="12"/>
  <c r="AO247" i="12"/>
  <c r="O247" i="12"/>
  <c r="AB247" i="5"/>
  <c r="C215" i="6"/>
  <c r="O215" i="5"/>
  <c r="L215" i="12"/>
  <c r="J215" i="12"/>
  <c r="C215" i="12"/>
  <c r="M215" i="12"/>
  <c r="O215" i="12"/>
  <c r="AO215" i="12"/>
  <c r="AB177" i="5"/>
  <c r="AB194" i="5"/>
  <c r="O194" i="5"/>
  <c r="C194" i="6"/>
  <c r="L194" i="12"/>
  <c r="J194" i="12"/>
  <c r="C194" i="12"/>
  <c r="O194" i="12"/>
  <c r="AO194" i="12"/>
  <c r="M194" i="12"/>
  <c r="K169" i="12"/>
  <c r="E169" i="6"/>
  <c r="D169" i="12"/>
  <c r="W169" i="12"/>
  <c r="X169" i="12"/>
  <c r="X141" i="12"/>
  <c r="C177" i="6"/>
  <c r="O177" i="5"/>
  <c r="J177" i="12"/>
  <c r="L177" i="12"/>
  <c r="C177" i="12"/>
  <c r="M177" i="12"/>
  <c r="O177" i="12"/>
  <c r="AO177" i="12"/>
  <c r="K141" i="12"/>
  <c r="E141" i="6"/>
  <c r="D141" i="12"/>
  <c r="T141" i="12"/>
  <c r="V141" i="12"/>
  <c r="U141" i="12"/>
  <c r="F18" i="8"/>
  <c r="AB126" i="5"/>
  <c r="AB157" i="5"/>
  <c r="L157" i="12"/>
  <c r="J157" i="12"/>
  <c r="C157" i="12"/>
  <c r="O157" i="5"/>
  <c r="C157" i="6"/>
  <c r="AO157" i="12"/>
  <c r="O157" i="12"/>
  <c r="N157" i="12" s="1"/>
  <c r="I26" i="5"/>
  <c r="I27" i="5" s="1"/>
  <c r="O25" i="5"/>
  <c r="D24" i="12"/>
  <c r="E24" i="6"/>
  <c r="N22" i="12"/>
  <c r="Y22" i="12"/>
  <c r="W22" i="12" s="1"/>
  <c r="T22" i="12" s="1"/>
  <c r="M105" i="12"/>
  <c r="N105" i="12" s="1"/>
  <c r="M126" i="12"/>
  <c r="C126" i="6"/>
  <c r="O126" i="5"/>
  <c r="L126" i="12"/>
  <c r="J126" i="12"/>
  <c r="C126" i="12"/>
  <c r="AO126" i="12"/>
  <c r="O126" i="12"/>
  <c r="Y105" i="12"/>
  <c r="C105" i="6"/>
  <c r="O105" i="5"/>
  <c r="J105" i="12"/>
  <c r="L105" i="12"/>
  <c r="C105" i="12"/>
  <c r="T43" i="12"/>
  <c r="V43" i="12"/>
  <c r="K70" i="12"/>
  <c r="D70" i="12"/>
  <c r="E70" i="6"/>
  <c r="W264" i="12"/>
  <c r="V264" i="12" s="1"/>
  <c r="X43" i="12"/>
  <c r="T263" i="12"/>
  <c r="V263" i="12"/>
  <c r="Y53" i="12"/>
  <c r="X53" i="12" s="1"/>
  <c r="K45" i="12"/>
  <c r="M45" i="12"/>
  <c r="D45" i="12"/>
  <c r="E45" i="6"/>
  <c r="J17" i="12"/>
  <c r="N53" i="12"/>
  <c r="C17" i="6"/>
  <c r="L17" i="12"/>
  <c r="M74" i="12"/>
  <c r="M70" i="12" s="1"/>
  <c r="M15" i="12"/>
  <c r="J15" i="12" s="1"/>
  <c r="F24" i="8"/>
  <c r="F23" i="8"/>
  <c r="O23" i="8"/>
  <c r="E27" i="8"/>
  <c r="R25" i="8"/>
  <c r="P23" i="8"/>
  <c r="M17" i="12"/>
  <c r="N32" i="12"/>
  <c r="Y32" i="12"/>
  <c r="K74" i="12"/>
  <c r="Y265" i="12"/>
  <c r="W265" i="12" s="1"/>
  <c r="D22" i="12"/>
  <c r="E22" i="6"/>
  <c r="H20" i="8"/>
  <c r="T66" i="12"/>
  <c r="V66" i="12"/>
  <c r="U66" i="12"/>
  <c r="Q71" i="10"/>
  <c r="Q70" i="10" s="1"/>
  <c r="Q72" i="10"/>
  <c r="K72" i="10"/>
  <c r="K71" i="10"/>
  <c r="K70" i="10" s="1"/>
  <c r="W71" i="10"/>
  <c r="W70" i="10" s="1"/>
  <c r="W72" i="10"/>
  <c r="O72" i="10"/>
  <c r="O71" i="10"/>
  <c r="O70" i="10" s="1"/>
  <c r="AE71" i="10"/>
  <c r="AE70" i="10" s="1"/>
  <c r="AE72" i="10"/>
  <c r="AA72" i="10"/>
  <c r="AA71" i="10"/>
  <c r="AA70" i="10" s="1"/>
  <c r="AB74" i="5"/>
  <c r="F15" i="8"/>
  <c r="F14" i="8"/>
  <c r="O16" i="5"/>
  <c r="C16" i="6"/>
  <c r="L16" i="12"/>
  <c r="C16" i="12"/>
  <c r="J16" i="12"/>
  <c r="K22" i="12"/>
  <c r="D17" i="12"/>
  <c r="E17" i="6"/>
  <c r="H17" i="8"/>
  <c r="D265" i="12"/>
  <c r="E265" i="6"/>
  <c r="AO74" i="12"/>
  <c r="AO70" i="12" s="1"/>
  <c r="K53" i="12"/>
  <c r="N265" i="12"/>
  <c r="O74" i="12"/>
  <c r="M72" i="10"/>
  <c r="M71" i="10"/>
  <c r="M70" i="10" s="1"/>
  <c r="I72" i="10"/>
  <c r="AE9" i="10" s="1"/>
  <c r="I71" i="10"/>
  <c r="I70" i="10" s="1"/>
  <c r="Y9" i="10" s="1"/>
  <c r="AC71" i="10"/>
  <c r="AC70" i="10" s="1"/>
  <c r="AC72" i="10"/>
  <c r="Y71" i="10"/>
  <c r="Y70" i="10" s="1"/>
  <c r="Y72" i="10"/>
  <c r="S71" i="10"/>
  <c r="S70" i="10" s="1"/>
  <c r="S72" i="10"/>
  <c r="U71" i="10"/>
  <c r="U70" i="10" s="1"/>
  <c r="U72" i="10"/>
  <c r="L14" i="13"/>
  <c r="O24" i="11"/>
  <c r="C14" i="11"/>
  <c r="W14" i="11"/>
  <c r="N247" i="12" l="1"/>
  <c r="Y247" i="12"/>
  <c r="D247" i="12"/>
  <c r="E247" i="6"/>
  <c r="K247" i="12"/>
  <c r="N215" i="12"/>
  <c r="Y215" i="12"/>
  <c r="X215" i="12" s="1"/>
  <c r="K215" i="12"/>
  <c r="D215" i="12"/>
  <c r="E215" i="6"/>
  <c r="N194" i="12"/>
  <c r="Y194" i="12"/>
  <c r="K194" i="12"/>
  <c r="D194" i="12"/>
  <c r="E194" i="6"/>
  <c r="X22" i="12"/>
  <c r="U22" i="12"/>
  <c r="V22" i="12"/>
  <c r="V169" i="12"/>
  <c r="T169" i="12"/>
  <c r="U169" i="12"/>
  <c r="N177" i="12"/>
  <c r="Y177" i="12"/>
  <c r="K177" i="12"/>
  <c r="D177" i="12"/>
  <c r="E177" i="6"/>
  <c r="M16" i="12"/>
  <c r="AL14" i="13" s="1"/>
  <c r="M14" i="13" s="1"/>
  <c r="M28" i="13" s="1"/>
  <c r="O26" i="5"/>
  <c r="D26" i="12" s="1"/>
  <c r="Y157" i="12"/>
  <c r="D157" i="12"/>
  <c r="E157" i="6"/>
  <c r="K157" i="12"/>
  <c r="I28" i="5"/>
  <c r="I29" i="5" s="1"/>
  <c r="O27" i="5"/>
  <c r="D27" i="12" s="1"/>
  <c r="E25" i="6"/>
  <c r="D25" i="12"/>
  <c r="N126" i="12"/>
  <c r="H26" i="8"/>
  <c r="Y126" i="12"/>
  <c r="U264" i="12"/>
  <c r="K105" i="12"/>
  <c r="K126" i="12"/>
  <c r="E126" i="6"/>
  <c r="D126" i="12"/>
  <c r="W53" i="12"/>
  <c r="T53" i="12" s="1"/>
  <c r="T264" i="12"/>
  <c r="D105" i="12"/>
  <c r="E105" i="6"/>
  <c r="W105" i="12"/>
  <c r="X105" i="12"/>
  <c r="O15" i="12"/>
  <c r="L15" i="12" s="1"/>
  <c r="K15" i="12" s="1"/>
  <c r="O70" i="12"/>
  <c r="N70" i="12" s="1"/>
  <c r="AB17" i="5"/>
  <c r="AB70" i="5"/>
  <c r="AO16" i="12"/>
  <c r="AO45" i="12"/>
  <c r="O45" i="12"/>
  <c r="N45" i="12" s="1"/>
  <c r="AB45" i="5"/>
  <c r="K17" i="12"/>
  <c r="AB16" i="5"/>
  <c r="I26" i="8"/>
  <c r="R26" i="8"/>
  <c r="L26" i="8"/>
  <c r="N74" i="12"/>
  <c r="O16" i="12"/>
  <c r="AB15" i="5"/>
  <c r="O17" i="12"/>
  <c r="N17" i="12" s="1"/>
  <c r="AO17" i="12"/>
  <c r="W32" i="12"/>
  <c r="X32" i="12"/>
  <c r="X265" i="12"/>
  <c r="O25" i="11"/>
  <c r="AA7" i="11"/>
  <c r="AF14" i="13"/>
  <c r="AC14" i="13"/>
  <c r="V265" i="12"/>
  <c r="U265" i="12"/>
  <c r="T265" i="12"/>
  <c r="AG14" i="13"/>
  <c r="AD14" i="13"/>
  <c r="L28" i="13"/>
  <c r="V14" i="13"/>
  <c r="D14" i="13"/>
  <c r="Y74" i="12"/>
  <c r="K16" i="12"/>
  <c r="D16" i="12"/>
  <c r="E16" i="6"/>
  <c r="H14" i="8"/>
  <c r="I30" i="5" l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O29" i="5"/>
  <c r="X247" i="12"/>
  <c r="W247" i="12"/>
  <c r="W215" i="12"/>
  <c r="V215" i="12" s="1"/>
  <c r="W194" i="12"/>
  <c r="X194" i="12"/>
  <c r="AK14" i="13"/>
  <c r="S14" i="13" s="1"/>
  <c r="M27" i="13" s="1"/>
  <c r="O28" i="5"/>
  <c r="E28" i="6" s="1"/>
  <c r="X177" i="12"/>
  <c r="W177" i="12"/>
  <c r="E26" i="6"/>
  <c r="E27" i="6"/>
  <c r="X157" i="12"/>
  <c r="W157" i="12"/>
  <c r="V53" i="12"/>
  <c r="U53" i="12"/>
  <c r="X126" i="12"/>
  <c r="W126" i="12"/>
  <c r="N15" i="12"/>
  <c r="N10" i="12"/>
  <c r="T105" i="12"/>
  <c r="V105" i="12"/>
  <c r="U105" i="12"/>
  <c r="P26" i="8"/>
  <c r="Y70" i="12"/>
  <c r="Y45" i="12"/>
  <c r="AB14" i="11"/>
  <c r="AB24" i="11" s="1"/>
  <c r="AB7" i="11" s="1"/>
  <c r="Z3" i="11" s="1"/>
  <c r="Y16" i="12"/>
  <c r="X16" i="12" s="1"/>
  <c r="AO14" i="13"/>
  <c r="O14" i="13" s="1"/>
  <c r="AN14" i="13"/>
  <c r="U14" i="13" s="1"/>
  <c r="AD4" i="13" s="1"/>
  <c r="O26" i="8"/>
  <c r="Y17" i="12"/>
  <c r="X17" i="12" s="1"/>
  <c r="E30" i="8"/>
  <c r="R28" i="8"/>
  <c r="F26" i="8"/>
  <c r="F27" i="8"/>
  <c r="N16" i="12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D33" i="14"/>
  <c r="L24" i="13"/>
  <c r="M24" i="13"/>
  <c r="O29" i="13"/>
  <c r="O46" i="5" l="1"/>
  <c r="E46" i="6" s="1"/>
  <c r="D29" i="12"/>
  <c r="E29" i="6"/>
  <c r="O47" i="5"/>
  <c r="E47" i="6" s="1"/>
  <c r="V247" i="12"/>
  <c r="T247" i="12"/>
  <c r="U247" i="12"/>
  <c r="I49" i="5"/>
  <c r="O48" i="5"/>
  <c r="T215" i="12"/>
  <c r="U215" i="12"/>
  <c r="T194" i="12"/>
  <c r="V194" i="12"/>
  <c r="U194" i="12"/>
  <c r="D28" i="12"/>
  <c r="V177" i="12"/>
  <c r="T177" i="12"/>
  <c r="U177" i="12"/>
  <c r="V157" i="12"/>
  <c r="U157" i="12"/>
  <c r="T157" i="12"/>
  <c r="AA3" i="11"/>
  <c r="U126" i="12"/>
  <c r="V126" i="12"/>
  <c r="T126" i="12"/>
  <c r="W16" i="12"/>
  <c r="T16" i="12" s="1"/>
  <c r="W70" i="12"/>
  <c r="X70" i="12"/>
  <c r="X45" i="12"/>
  <c r="W45" i="12"/>
  <c r="W17" i="12"/>
  <c r="T17" i="12" s="1"/>
  <c r="N14" i="11"/>
  <c r="N24" i="11" s="1"/>
  <c r="N25" i="11" s="1"/>
  <c r="O28" i="13"/>
  <c r="N14" i="13"/>
  <c r="P14" i="13"/>
  <c r="L29" i="8"/>
  <c r="H29" i="8"/>
  <c r="I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AA146" i="5" l="1"/>
  <c r="AA231" i="5"/>
  <c r="D46" i="12"/>
  <c r="AA133" i="5"/>
  <c r="AA29" i="5"/>
  <c r="AA248" i="5"/>
  <c r="AA247" i="5" s="1"/>
  <c r="AA230" i="5"/>
  <c r="D47" i="12"/>
  <c r="AA206" i="5"/>
  <c r="AA207" i="5"/>
  <c r="AA205" i="5"/>
  <c r="AA176" i="5"/>
  <c r="AA203" i="5"/>
  <c r="AA204" i="5"/>
  <c r="AA51" i="5"/>
  <c r="AA229" i="5"/>
  <c r="AA54" i="5"/>
  <c r="AA53" i="5"/>
  <c r="AA50" i="5"/>
  <c r="AA52" i="5"/>
  <c r="AA48" i="5"/>
  <c r="AA49" i="5"/>
  <c r="I50" i="5"/>
  <c r="O49" i="5"/>
  <c r="E48" i="6"/>
  <c r="D48" i="12"/>
  <c r="AA47" i="5"/>
  <c r="AA46" i="5"/>
  <c r="AA81" i="5"/>
  <c r="AA82" i="5"/>
  <c r="AA79" i="5"/>
  <c r="AA80" i="5"/>
  <c r="AA77" i="5"/>
  <c r="AA78" i="5"/>
  <c r="AA75" i="5"/>
  <c r="AA76" i="5"/>
  <c r="AA74" i="5"/>
  <c r="AA73" i="5"/>
  <c r="AA71" i="5"/>
  <c r="AA72" i="5"/>
  <c r="AA182" i="5"/>
  <c r="AA224" i="5"/>
  <c r="AA225" i="5"/>
  <c r="AA226" i="5"/>
  <c r="AA181" i="5"/>
  <c r="AA223" i="5"/>
  <c r="K6" i="14"/>
  <c r="L6" i="14" s="1"/>
  <c r="AA201" i="5"/>
  <c r="AA175" i="5"/>
  <c r="AA218" i="5"/>
  <c r="AA202" i="5"/>
  <c r="AA228" i="5"/>
  <c r="AA222" i="5"/>
  <c r="AA219" i="5"/>
  <c r="AA227" i="5"/>
  <c r="AA220" i="5"/>
  <c r="AA221" i="5"/>
  <c r="AA216" i="5"/>
  <c r="AA217" i="5"/>
  <c r="AA198" i="5"/>
  <c r="AA200" i="5"/>
  <c r="AA197" i="5"/>
  <c r="AA199" i="5"/>
  <c r="AA195" i="5"/>
  <c r="AA196" i="5"/>
  <c r="AA173" i="5"/>
  <c r="AA174" i="5"/>
  <c r="AA132" i="5"/>
  <c r="AA172" i="5"/>
  <c r="AA170" i="5"/>
  <c r="AA171" i="5"/>
  <c r="AA179" i="5"/>
  <c r="AA180" i="5"/>
  <c r="AA20" i="5"/>
  <c r="AA178" i="5"/>
  <c r="AA144" i="5"/>
  <c r="AA145" i="5"/>
  <c r="AA142" i="5"/>
  <c r="AA143" i="5"/>
  <c r="AA160" i="5"/>
  <c r="AA161" i="5"/>
  <c r="AA108" i="5"/>
  <c r="AA159" i="5"/>
  <c r="AA106" i="5"/>
  <c r="AA107" i="5"/>
  <c r="AA131" i="5"/>
  <c r="AA158" i="5"/>
  <c r="U16" i="12"/>
  <c r="AA129" i="5"/>
  <c r="AA130" i="5"/>
  <c r="AA127" i="5"/>
  <c r="AA128" i="5"/>
  <c r="V16" i="12"/>
  <c r="AA25" i="5"/>
  <c r="AA28" i="5"/>
  <c r="AA27" i="5"/>
  <c r="AA26" i="5"/>
  <c r="AA23" i="5"/>
  <c r="AA24" i="5"/>
  <c r="AA21" i="5"/>
  <c r="AA22" i="5"/>
  <c r="AA18" i="5"/>
  <c r="AA19" i="5"/>
  <c r="AD12" i="11"/>
  <c r="AD20" i="11"/>
  <c r="AD16" i="11"/>
  <c r="AD23" i="11"/>
  <c r="AE23" i="11" s="1"/>
  <c r="M23" i="11" s="1"/>
  <c r="L23" i="11" s="1"/>
  <c r="AD21" i="11"/>
  <c r="AD18" i="11"/>
  <c r="AD15" i="11"/>
  <c r="AD14" i="11"/>
  <c r="AD22" i="11"/>
  <c r="AD19" i="11"/>
  <c r="AD17" i="11"/>
  <c r="O29" i="8"/>
  <c r="U70" i="12"/>
  <c r="V70" i="12"/>
  <c r="T70" i="12"/>
  <c r="T45" i="12"/>
  <c r="V45" i="12"/>
  <c r="U45" i="12"/>
  <c r="L27" i="13"/>
  <c r="AD27" i="13" s="1"/>
  <c r="U17" i="12"/>
  <c r="V17" i="12"/>
  <c r="F30" i="8"/>
  <c r="F33" i="14"/>
  <c r="N28" i="13"/>
  <c r="AE4" i="13" s="1"/>
  <c r="O27" i="13" s="1"/>
  <c r="AD6" i="13"/>
  <c r="P24" i="13"/>
  <c r="O24" i="13"/>
  <c r="P29" i="8"/>
  <c r="E33" i="8"/>
  <c r="R31" i="8"/>
  <c r="AA45" i="5" l="1"/>
  <c r="I51" i="5"/>
  <c r="O50" i="5"/>
  <c r="D49" i="12"/>
  <c r="E49" i="6"/>
  <c r="AA70" i="5"/>
  <c r="AA215" i="5"/>
  <c r="AA194" i="5"/>
  <c r="AA169" i="5"/>
  <c r="AA177" i="5"/>
  <c r="AA157" i="5"/>
  <c r="AA141" i="5"/>
  <c r="AA105" i="5"/>
  <c r="AA17" i="5"/>
  <c r="AA126" i="5"/>
  <c r="AA15" i="5"/>
  <c r="AA16" i="5"/>
  <c r="AA14" i="11" s="1"/>
  <c r="M14" i="11" s="1"/>
  <c r="AE15" i="11"/>
  <c r="M15" i="11" s="1"/>
  <c r="L15" i="11" s="1"/>
  <c r="AE17" i="11"/>
  <c r="M17" i="11" s="1"/>
  <c r="L17" i="11" s="1"/>
  <c r="AE19" i="11"/>
  <c r="M19" i="11" s="1"/>
  <c r="L19" i="11" s="1"/>
  <c r="AE20" i="11"/>
  <c r="M20" i="11" s="1"/>
  <c r="L20" i="11" s="1"/>
  <c r="AE14" i="11"/>
  <c r="AE18" i="11"/>
  <c r="M18" i="11" s="1"/>
  <c r="L18" i="11" s="1"/>
  <c r="AE21" i="11"/>
  <c r="M21" i="11" s="1"/>
  <c r="L21" i="11" s="1"/>
  <c r="AE12" i="11"/>
  <c r="M12" i="11" s="1"/>
  <c r="L12" i="11" s="1"/>
  <c r="AE16" i="11"/>
  <c r="M16" i="11" s="1"/>
  <c r="L16" i="11" s="1"/>
  <c r="AE22" i="11"/>
  <c r="M22" i="11" s="1"/>
  <c r="L22" i="11" s="1"/>
  <c r="D32" i="14"/>
  <c r="AC27" i="13"/>
  <c r="N27" i="13"/>
  <c r="E32" i="14" s="1"/>
  <c r="F32" i="14"/>
  <c r="E33" i="14"/>
  <c r="N24" i="13"/>
  <c r="E34" i="14"/>
  <c r="G10" i="13"/>
  <c r="F34" i="14"/>
  <c r="AE6" i="13"/>
  <c r="I32" i="8"/>
  <c r="R32" i="8"/>
  <c r="F32" i="8" s="1"/>
  <c r="L32" i="8"/>
  <c r="H32" i="8"/>
  <c r="I52" i="5" l="1"/>
  <c r="I53" i="5" s="1"/>
  <c r="O51" i="5"/>
  <c r="E50" i="6"/>
  <c r="D50" i="12"/>
  <c r="AM14" i="13"/>
  <c r="T14" i="13" s="1"/>
  <c r="AD3" i="13" s="1"/>
  <c r="AD2" i="13" s="1"/>
  <c r="AJ14" i="13"/>
  <c r="R14" i="13" s="1"/>
  <c r="M26" i="13" s="1"/>
  <c r="M25" i="13" s="1"/>
  <c r="L14" i="11"/>
  <c r="L24" i="11" s="1"/>
  <c r="L10" i="11" s="1"/>
  <c r="M10" i="13" s="1"/>
  <c r="M24" i="11"/>
  <c r="L26" i="13" s="1"/>
  <c r="D31" i="14" s="1"/>
  <c r="AA24" i="11"/>
  <c r="Z14" i="11"/>
  <c r="Z24" i="11" s="1"/>
  <c r="O32" i="8"/>
  <c r="P32" i="8"/>
  <c r="F33" i="8"/>
  <c r="R34" i="8"/>
  <c r="E36" i="8"/>
  <c r="O52" i="5" l="1"/>
  <c r="E52" i="6" s="1"/>
  <c r="D51" i="12"/>
  <c r="E51" i="6"/>
  <c r="I54" i="5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O77" i="5" s="1"/>
  <c r="O53" i="5"/>
  <c r="O54" i="5"/>
  <c r="AE3" i="13"/>
  <c r="O26" i="13" s="1"/>
  <c r="N26" i="13" s="1"/>
  <c r="E31" i="14" s="1"/>
  <c r="M10" i="11"/>
  <c r="N10" i="13" s="1"/>
  <c r="AC26" i="13"/>
  <c r="AD26" i="13"/>
  <c r="M25" i="11"/>
  <c r="L25" i="11"/>
  <c r="L25" i="13"/>
  <c r="D30" i="14" s="1"/>
  <c r="I35" i="8"/>
  <c r="H35" i="8"/>
  <c r="R35" i="8"/>
  <c r="F36" i="8" s="1"/>
  <c r="L35" i="8"/>
  <c r="D52" i="12" l="1"/>
  <c r="G9" i="11"/>
  <c r="E53" i="6"/>
  <c r="D53" i="12"/>
  <c r="O75" i="5"/>
  <c r="E75" i="6" s="1"/>
  <c r="O74" i="5"/>
  <c r="D74" i="12" s="1"/>
  <c r="I78" i="5"/>
  <c r="I79" i="5" s="1"/>
  <c r="O76" i="5"/>
  <c r="D76" i="12" s="1"/>
  <c r="O72" i="5"/>
  <c r="D72" i="12" s="1"/>
  <c r="O71" i="5"/>
  <c r="D71" i="12" s="1"/>
  <c r="O73" i="5"/>
  <c r="E54" i="6"/>
  <c r="D54" i="12"/>
  <c r="D77" i="12"/>
  <c r="E77" i="6"/>
  <c r="O25" i="13"/>
  <c r="F30" i="14" s="1"/>
  <c r="F31" i="14"/>
  <c r="AE2" i="13"/>
  <c r="O35" i="8"/>
  <c r="P35" i="8"/>
  <c r="F35" i="8"/>
  <c r="R37" i="8"/>
  <c r="E39" i="8"/>
  <c r="E74" i="6" l="1"/>
  <c r="O78" i="5"/>
  <c r="D78" i="12" s="1"/>
  <c r="E76" i="6"/>
  <c r="D75" i="12"/>
  <c r="E73" i="6"/>
  <c r="D73" i="12"/>
  <c r="E71" i="6"/>
  <c r="E72" i="6"/>
  <c r="I80" i="5"/>
  <c r="O79" i="5"/>
  <c r="N25" i="13"/>
  <c r="E30" i="14" s="1"/>
  <c r="H38" i="8"/>
  <c r="L38" i="8"/>
  <c r="I38" i="8"/>
  <c r="R38" i="8"/>
  <c r="F39" i="8" s="1"/>
  <c r="E78" i="6" l="1"/>
  <c r="I81" i="5"/>
  <c r="O80" i="5"/>
  <c r="E79" i="6"/>
  <c r="D79" i="12"/>
  <c r="P38" i="8"/>
  <c r="F38" i="8"/>
  <c r="O38" i="8"/>
  <c r="R40" i="8"/>
  <c r="E42" i="8"/>
  <c r="I82" i="5" l="1"/>
  <c r="O81" i="5"/>
  <c r="E80" i="6"/>
  <c r="D80" i="12"/>
  <c r="L41" i="8"/>
  <c r="H41" i="8"/>
  <c r="I41" i="8"/>
  <c r="R41" i="8"/>
  <c r="F42" i="8" s="1"/>
  <c r="I83" i="5" l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O130" i="5" s="1"/>
  <c r="E130" i="6" s="1"/>
  <c r="O82" i="5"/>
  <c r="E81" i="6"/>
  <c r="D81" i="12"/>
  <c r="O41" i="8"/>
  <c r="P41" i="8"/>
  <c r="F41" i="8"/>
  <c r="R43" i="8"/>
  <c r="E45" i="8"/>
  <c r="D130" i="12" l="1"/>
  <c r="O106" i="5"/>
  <c r="D106" i="12" s="1"/>
  <c r="O128" i="5"/>
  <c r="D128" i="12" s="1"/>
  <c r="I131" i="5"/>
  <c r="O129" i="5"/>
  <c r="O108" i="5"/>
  <c r="O127" i="5"/>
  <c r="O107" i="5"/>
  <c r="E82" i="6"/>
  <c r="D82" i="12"/>
  <c r="H44" i="8"/>
  <c r="I44" i="8"/>
  <c r="R44" i="8"/>
  <c r="F45" i="8" s="1"/>
  <c r="L44" i="8"/>
  <c r="E106" i="6" l="1"/>
  <c r="E128" i="6"/>
  <c r="D107" i="12"/>
  <c r="E107" i="6"/>
  <c r="E127" i="6"/>
  <c r="D127" i="12"/>
  <c r="E108" i="6"/>
  <c r="D108" i="12"/>
  <c r="D129" i="12"/>
  <c r="E129" i="6"/>
  <c r="O131" i="5"/>
  <c r="I132" i="5"/>
  <c r="O44" i="8"/>
  <c r="R46" i="8"/>
  <c r="E48" i="8"/>
  <c r="F44" i="8"/>
  <c r="P44" i="8"/>
  <c r="D131" i="12" l="1"/>
  <c r="E131" i="6"/>
  <c r="I133" i="5"/>
  <c r="O132" i="5"/>
  <c r="L47" i="8"/>
  <c r="H47" i="8"/>
  <c r="R47" i="8"/>
  <c r="F48" i="8" s="1"/>
  <c r="I47" i="8"/>
  <c r="I134" i="5" l="1"/>
  <c r="I135" i="5" s="1"/>
  <c r="I136" i="5" s="1"/>
  <c r="I137" i="5" s="1"/>
  <c r="I138" i="5" s="1"/>
  <c r="I139" i="5" s="1"/>
  <c r="I140" i="5" s="1"/>
  <c r="I141" i="5" s="1"/>
  <c r="I142" i="5" s="1"/>
  <c r="O142" i="5" s="1"/>
  <c r="O133" i="5"/>
  <c r="D132" i="12"/>
  <c r="E132" i="6"/>
  <c r="O47" i="8"/>
  <c r="P47" i="8"/>
  <c r="R49" i="8"/>
  <c r="E51" i="8"/>
  <c r="F47" i="8"/>
  <c r="I143" i="5" l="1"/>
  <c r="D133" i="12"/>
  <c r="E133" i="6"/>
  <c r="O143" i="5"/>
  <c r="I144" i="5"/>
  <c r="D142" i="12"/>
  <c r="E142" i="6"/>
  <c r="L50" i="8"/>
  <c r="R50" i="8"/>
  <c r="F50" i="8" s="1"/>
  <c r="H50" i="8"/>
  <c r="I145" i="5" l="1"/>
  <c r="O144" i="5"/>
  <c r="E143" i="6"/>
  <c r="D143" i="12"/>
  <c r="P50" i="8"/>
  <c r="O50" i="8"/>
  <c r="F51" i="8"/>
  <c r="R52" i="8"/>
  <c r="E54" i="8"/>
  <c r="E144" i="6" l="1"/>
  <c r="D144" i="12"/>
  <c r="I146" i="5"/>
  <c r="O145" i="5"/>
  <c r="I53" i="8"/>
  <c r="L53" i="8"/>
  <c r="H53" i="8"/>
  <c r="R53" i="8"/>
  <c r="F54" i="8" s="1"/>
  <c r="I147" i="5" l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O146" i="5"/>
  <c r="M23" i="8"/>
  <c r="M20" i="8"/>
  <c r="M38" i="8"/>
  <c r="M35" i="8"/>
  <c r="M47" i="8"/>
  <c r="M32" i="8"/>
  <c r="M29" i="8"/>
  <c r="M44" i="8"/>
  <c r="M41" i="8"/>
  <c r="M14" i="8"/>
  <c r="Q14" i="8" s="1"/>
  <c r="M17" i="8"/>
  <c r="M26" i="8"/>
  <c r="E145" i="6"/>
  <c r="D145" i="12"/>
  <c r="P53" i="8"/>
  <c r="M50" i="8"/>
  <c r="N53" i="8"/>
  <c r="O53" i="8"/>
  <c r="F53" i="8"/>
  <c r="G54" i="8"/>
  <c r="G53" i="8"/>
  <c r="I54" i="8" s="1"/>
  <c r="E57" i="8"/>
  <c r="R55" i="8"/>
  <c r="O158" i="5" l="1"/>
  <c r="E146" i="6"/>
  <c r="D146" i="12"/>
  <c r="G15" i="8"/>
  <c r="C14" i="8"/>
  <c r="E16" i="8"/>
  <c r="B14" i="8"/>
  <c r="G14" i="8"/>
  <c r="I15" i="8" s="1"/>
  <c r="E158" i="6"/>
  <c r="D158" i="12"/>
  <c r="O159" i="5"/>
  <c r="I160" i="5"/>
  <c r="I56" i="8"/>
  <c r="R56" i="8"/>
  <c r="F56" i="8" s="1"/>
  <c r="L56" i="8"/>
  <c r="H56" i="8"/>
  <c r="I161" i="5" l="1"/>
  <c r="O160" i="5"/>
  <c r="E159" i="6"/>
  <c r="D159" i="12"/>
  <c r="M53" i="8"/>
  <c r="Q53" i="8" s="1"/>
  <c r="B53" i="8" s="1"/>
  <c r="P56" i="8"/>
  <c r="N56" i="8"/>
  <c r="O56" i="8"/>
  <c r="F57" i="8"/>
  <c r="G57" i="8"/>
  <c r="G56" i="8"/>
  <c r="I57" i="8" s="1"/>
  <c r="R58" i="8"/>
  <c r="E60" i="8"/>
  <c r="E160" i="6" l="1"/>
  <c r="D160" i="12"/>
  <c r="I162" i="5"/>
  <c r="I163" i="5" s="1"/>
  <c r="I164" i="5" s="1"/>
  <c r="I165" i="5" s="1"/>
  <c r="I166" i="5" s="1"/>
  <c r="I167" i="5" s="1"/>
  <c r="I168" i="5" s="1"/>
  <c r="I169" i="5" s="1"/>
  <c r="I170" i="5" s="1"/>
  <c r="O161" i="5"/>
  <c r="X55" i="8"/>
  <c r="X53" i="8" s="1"/>
  <c r="AE55" i="8"/>
  <c r="AE53" i="8" s="1"/>
  <c r="Z55" i="8"/>
  <c r="Z53" i="8" s="1"/>
  <c r="Y55" i="8"/>
  <c r="Y53" i="8" s="1"/>
  <c r="AC55" i="8"/>
  <c r="AC53" i="8" s="1"/>
  <c r="D55" i="8"/>
  <c r="D53" i="8" s="1"/>
  <c r="AB55" i="8"/>
  <c r="AB53" i="8" s="1"/>
  <c r="U55" i="8"/>
  <c r="U53" i="8" s="1"/>
  <c r="E55" i="8"/>
  <c r="W55" i="8"/>
  <c r="W53" i="8" s="1"/>
  <c r="C53" i="8"/>
  <c r="AD55" i="8"/>
  <c r="AD53" i="8" s="1"/>
  <c r="T55" i="8"/>
  <c r="T53" i="8" s="1"/>
  <c r="V55" i="8"/>
  <c r="V53" i="8" s="1"/>
  <c r="AA55" i="8"/>
  <c r="AA53" i="8" s="1"/>
  <c r="I59" i="8"/>
  <c r="L59" i="8"/>
  <c r="H59" i="8"/>
  <c r="R59" i="8"/>
  <c r="P59" i="8" l="1"/>
  <c r="E161" i="6"/>
  <c r="D161" i="12"/>
  <c r="I171" i="5"/>
  <c r="O170" i="5"/>
  <c r="M56" i="8"/>
  <c r="Q56" i="8" s="1"/>
  <c r="AA58" i="8" s="1"/>
  <c r="AA56" i="8" s="1"/>
  <c r="N59" i="8"/>
  <c r="O59" i="8"/>
  <c r="F60" i="8"/>
  <c r="F59" i="8"/>
  <c r="R61" i="8"/>
  <c r="E63" i="8"/>
  <c r="G59" i="8"/>
  <c r="I60" i="8" s="1"/>
  <c r="G60" i="8"/>
  <c r="E170" i="6" l="1"/>
  <c r="D170" i="12"/>
  <c r="I172" i="5"/>
  <c r="O171" i="5"/>
  <c r="AB58" i="8"/>
  <c r="AB56" i="8" s="1"/>
  <c r="AC58" i="8"/>
  <c r="AC56" i="8" s="1"/>
  <c r="D58" i="8"/>
  <c r="D56" i="8" s="1"/>
  <c r="E58" i="8"/>
  <c r="AD58" i="8"/>
  <c r="AD56" i="8" s="1"/>
  <c r="Z58" i="8"/>
  <c r="Z56" i="8" s="1"/>
  <c r="U58" i="8"/>
  <c r="U56" i="8" s="1"/>
  <c r="B56" i="8"/>
  <c r="W58" i="8"/>
  <c r="W56" i="8" s="1"/>
  <c r="T58" i="8"/>
  <c r="T56" i="8" s="1"/>
  <c r="C56" i="8"/>
  <c r="V58" i="8"/>
  <c r="V56" i="8" s="1"/>
  <c r="X58" i="8"/>
  <c r="X56" i="8" s="1"/>
  <c r="Y58" i="8"/>
  <c r="Y56" i="8" s="1"/>
  <c r="AE58" i="8"/>
  <c r="AE56" i="8" s="1"/>
  <c r="R62" i="8"/>
  <c r="F63" i="8" s="1"/>
  <c r="I62" i="8"/>
  <c r="L62" i="8"/>
  <c r="H62" i="8"/>
  <c r="M59" i="8" l="1"/>
  <c r="Q59" i="8" s="1"/>
  <c r="AD61" i="8" s="1"/>
  <c r="AD59" i="8" s="1"/>
  <c r="E171" i="6"/>
  <c r="D171" i="12"/>
  <c r="O172" i="5"/>
  <c r="I173" i="5"/>
  <c r="O62" i="8"/>
  <c r="P62" i="8"/>
  <c r="N62" i="8"/>
  <c r="F62" i="8"/>
  <c r="E66" i="8"/>
  <c r="R64" i="8"/>
  <c r="G62" i="8"/>
  <c r="I63" i="8" s="1"/>
  <c r="G63" i="8"/>
  <c r="C59" i="8" l="1"/>
  <c r="W61" i="8"/>
  <c r="W59" i="8" s="1"/>
  <c r="B59" i="8"/>
  <c r="AC61" i="8"/>
  <c r="AC59" i="8" s="1"/>
  <c r="E61" i="8"/>
  <c r="AE61" i="8"/>
  <c r="AE59" i="8" s="1"/>
  <c r="T61" i="8"/>
  <c r="T59" i="8" s="1"/>
  <c r="Y61" i="8"/>
  <c r="Y59" i="8" s="1"/>
  <c r="AA61" i="8"/>
  <c r="AA59" i="8" s="1"/>
  <c r="X61" i="8"/>
  <c r="X59" i="8" s="1"/>
  <c r="Z61" i="8"/>
  <c r="Z59" i="8" s="1"/>
  <c r="D61" i="8"/>
  <c r="D59" i="8" s="1"/>
  <c r="AB61" i="8"/>
  <c r="AB59" i="8" s="1"/>
  <c r="V61" i="8"/>
  <c r="V59" i="8" s="1"/>
  <c r="U61" i="8"/>
  <c r="U59" i="8" s="1"/>
  <c r="I174" i="5"/>
  <c r="O173" i="5"/>
  <c r="D172" i="12"/>
  <c r="E172" i="6"/>
  <c r="I65" i="8"/>
  <c r="H65" i="8"/>
  <c r="L65" i="8"/>
  <c r="M62" i="8" s="1"/>
  <c r="Q62" i="8" s="1"/>
  <c r="E64" i="8" s="1"/>
  <c r="R65" i="8"/>
  <c r="F65" i="8" s="1"/>
  <c r="E173" i="6" l="1"/>
  <c r="D173" i="12"/>
  <c r="O174" i="5"/>
  <c r="I175" i="5"/>
  <c r="N65" i="8"/>
  <c r="O65" i="8"/>
  <c r="P65" i="8"/>
  <c r="AD64" i="8"/>
  <c r="AD62" i="8" s="1"/>
  <c r="AB64" i="8"/>
  <c r="AB62" i="8" s="1"/>
  <c r="C62" i="8"/>
  <c r="B62" i="8"/>
  <c r="X64" i="8"/>
  <c r="X62" i="8" s="1"/>
  <c r="Z64" i="8"/>
  <c r="Z62" i="8" s="1"/>
  <c r="W64" i="8"/>
  <c r="W62" i="8" s="1"/>
  <c r="AC64" i="8"/>
  <c r="AC62" i="8" s="1"/>
  <c r="U64" i="8"/>
  <c r="U62" i="8" s="1"/>
  <c r="T64" i="8"/>
  <c r="T62" i="8" s="1"/>
  <c r="Y64" i="8"/>
  <c r="Y62" i="8" s="1"/>
  <c r="AA64" i="8"/>
  <c r="AA62" i="8" s="1"/>
  <c r="AE64" i="8"/>
  <c r="AE62" i="8" s="1"/>
  <c r="V64" i="8"/>
  <c r="V62" i="8" s="1"/>
  <c r="D64" i="8"/>
  <c r="D62" i="8" s="1"/>
  <c r="E69" i="8"/>
  <c r="R67" i="8"/>
  <c r="G66" i="8"/>
  <c r="G65" i="8"/>
  <c r="I66" i="8" s="1"/>
  <c r="F66" i="8"/>
  <c r="O175" i="5" l="1"/>
  <c r="I176" i="5"/>
  <c r="D174" i="12"/>
  <c r="E174" i="6"/>
  <c r="L68" i="8"/>
  <c r="M65" i="8" s="1"/>
  <c r="Q65" i="8" s="1"/>
  <c r="U67" i="8" s="1"/>
  <c r="U65" i="8" s="1"/>
  <c r="I68" i="8"/>
  <c r="H68" i="8"/>
  <c r="R68" i="8"/>
  <c r="F69" i="8" s="1"/>
  <c r="I177" i="5" l="1"/>
  <c r="I178" i="5" s="1"/>
  <c r="I179" i="5" s="1"/>
  <c r="O176" i="5"/>
  <c r="E175" i="6"/>
  <c r="D175" i="12"/>
  <c r="O68" i="8"/>
  <c r="P68" i="8"/>
  <c r="N68" i="8"/>
  <c r="E67" i="8"/>
  <c r="AC67" i="8"/>
  <c r="AC65" i="8" s="1"/>
  <c r="C65" i="8"/>
  <c r="Y67" i="8"/>
  <c r="Y65" i="8" s="1"/>
  <c r="B65" i="8"/>
  <c r="V67" i="8"/>
  <c r="V65" i="8" s="1"/>
  <c r="T67" i="8"/>
  <c r="T65" i="8" s="1"/>
  <c r="Z67" i="8"/>
  <c r="Z65" i="8" s="1"/>
  <c r="AA67" i="8"/>
  <c r="AA65" i="8" s="1"/>
  <c r="W67" i="8"/>
  <c r="W65" i="8" s="1"/>
  <c r="AD67" i="8"/>
  <c r="AD65" i="8" s="1"/>
  <c r="X67" i="8"/>
  <c r="X65" i="8" s="1"/>
  <c r="AB67" i="8"/>
  <c r="AB65" i="8" s="1"/>
  <c r="AE67" i="8"/>
  <c r="AE65" i="8" s="1"/>
  <c r="D67" i="8"/>
  <c r="D65" i="8" s="1"/>
  <c r="F68" i="8"/>
  <c r="G69" i="8"/>
  <c r="G68" i="8"/>
  <c r="I69" i="8" s="1"/>
  <c r="E72" i="8"/>
  <c r="R70" i="8"/>
  <c r="O178" i="5" l="1"/>
  <c r="D178" i="12" s="1"/>
  <c r="E176" i="6"/>
  <c r="D176" i="12"/>
  <c r="I180" i="5"/>
  <c r="O179" i="5"/>
  <c r="R71" i="8"/>
  <c r="F72" i="8" s="1"/>
  <c r="L71" i="8"/>
  <c r="M68" i="8" s="1"/>
  <c r="Q68" i="8" s="1"/>
  <c r="B68" i="8" s="1"/>
  <c r="I71" i="8"/>
  <c r="H71" i="8"/>
  <c r="E178" i="6" l="1"/>
  <c r="I181" i="5"/>
  <c r="O180" i="5"/>
  <c r="D179" i="12"/>
  <c r="E179" i="6"/>
  <c r="P71" i="8"/>
  <c r="O71" i="8"/>
  <c r="N71" i="8"/>
  <c r="E70" i="8"/>
  <c r="C68" i="8"/>
  <c r="G72" i="8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D180" i="12" l="1"/>
  <c r="E180" i="6"/>
  <c r="I182" i="5"/>
  <c r="O181" i="5"/>
  <c r="L74" i="8"/>
  <c r="M71" i="8" s="1"/>
  <c r="Q71" i="8" s="1"/>
  <c r="C71" i="8" s="1"/>
  <c r="H74" i="8"/>
  <c r="I74" i="8"/>
  <c r="R74" i="8"/>
  <c r="F75" i="8" s="1"/>
  <c r="D181" i="12" l="1"/>
  <c r="E181" i="6"/>
  <c r="I183" i="5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O182" i="5"/>
  <c r="P74" i="8"/>
  <c r="N74" i="8"/>
  <c r="O74" i="8"/>
  <c r="B71" i="8"/>
  <c r="D73" i="8"/>
  <c r="D71" i="8" s="1"/>
  <c r="E73" i="8"/>
  <c r="AB73" i="8"/>
  <c r="AB71" i="8" s="1"/>
  <c r="Y73" i="8"/>
  <c r="Y71" i="8" s="1"/>
  <c r="X73" i="8"/>
  <c r="X71" i="8" s="1"/>
  <c r="AD73" i="8"/>
  <c r="AD71" i="8" s="1"/>
  <c r="F74" i="8"/>
  <c r="V73" i="8"/>
  <c r="V71" i="8" s="1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E78" i="8"/>
  <c r="R76" i="8"/>
  <c r="U73" i="8"/>
  <c r="U71" i="8" s="1"/>
  <c r="G75" i="8"/>
  <c r="G74" i="8"/>
  <c r="I75" i="8" s="1"/>
  <c r="D182" i="12" l="1"/>
  <c r="E182" i="6"/>
  <c r="I196" i="5"/>
  <c r="O195" i="5"/>
  <c r="H77" i="8"/>
  <c r="R77" i="8"/>
  <c r="F77" i="8" s="1"/>
  <c r="L77" i="8"/>
  <c r="M74" i="8" s="1"/>
  <c r="Q74" i="8" s="1"/>
  <c r="C74" i="8" s="1"/>
  <c r="I77" i="8"/>
  <c r="N77" i="8" l="1"/>
  <c r="P77" i="8"/>
  <c r="O77" i="8"/>
  <c r="E195" i="6"/>
  <c r="D195" i="12"/>
  <c r="O196" i="5"/>
  <c r="I197" i="5"/>
  <c r="B74" i="8"/>
  <c r="AD76" i="8"/>
  <c r="AD74" i="8" s="1"/>
  <c r="W76" i="8"/>
  <c r="W74" i="8" s="1"/>
  <c r="Y76" i="8"/>
  <c r="Y74" i="8" s="1"/>
  <c r="E76" i="8"/>
  <c r="AA76" i="8"/>
  <c r="AA74" i="8" s="1"/>
  <c r="V76" i="8"/>
  <c r="V74" i="8" s="1"/>
  <c r="U76" i="8"/>
  <c r="U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R79" i="8"/>
  <c r="E81" i="8"/>
  <c r="O197" i="5" l="1"/>
  <c r="I198" i="5"/>
  <c r="D196" i="12"/>
  <c r="E196" i="6"/>
  <c r="R80" i="8"/>
  <c r="I80" i="8"/>
  <c r="N80" i="8"/>
  <c r="H80" i="8"/>
  <c r="P80" i="8"/>
  <c r="M80" i="8"/>
  <c r="O80" i="8"/>
  <c r="L80" i="8"/>
  <c r="M77" i="8" s="1"/>
  <c r="Q77" i="8" s="1"/>
  <c r="E79" i="8" s="1"/>
  <c r="AB79" i="8" l="1"/>
  <c r="AB77" i="8" s="1"/>
  <c r="B77" i="8"/>
  <c r="Z79" i="8"/>
  <c r="Z77" i="8" s="1"/>
  <c r="C77" i="8"/>
  <c r="I199" i="5"/>
  <c r="O198" i="5"/>
  <c r="E197" i="6"/>
  <c r="D197" i="12"/>
  <c r="F80" i="8"/>
  <c r="X79" i="8"/>
  <c r="X77" i="8" s="1"/>
  <c r="AC79" i="8"/>
  <c r="AC77" i="8" s="1"/>
  <c r="D79" i="8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E198" i="6" l="1"/>
  <c r="D198" i="12"/>
  <c r="I200" i="5"/>
  <c r="O199" i="5"/>
  <c r="E82" i="8"/>
  <c r="B80" i="8"/>
  <c r="C80" i="8"/>
  <c r="R83" i="8"/>
  <c r="AA82" i="8" s="1"/>
  <c r="AA80" i="8" s="1"/>
  <c r="H83" i="8"/>
  <c r="N83" i="8"/>
  <c r="L83" i="8"/>
  <c r="M83" i="8"/>
  <c r="P83" i="8"/>
  <c r="O83" i="8"/>
  <c r="I83" i="8"/>
  <c r="D199" i="12" l="1"/>
  <c r="E199" i="6"/>
  <c r="O200" i="5"/>
  <c r="I201" i="5"/>
  <c r="F83" i="8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O201" i="5" l="1"/>
  <c r="I202" i="5"/>
  <c r="D200" i="12"/>
  <c r="E200" i="6"/>
  <c r="R86" i="8"/>
  <c r="W85" i="8" s="1"/>
  <c r="W83" i="8" s="1"/>
  <c r="L86" i="8"/>
  <c r="P86" i="8"/>
  <c r="N86" i="8"/>
  <c r="H86" i="8"/>
  <c r="O86" i="8"/>
  <c r="M86" i="8"/>
  <c r="I86" i="8"/>
  <c r="D85" i="8"/>
  <c r="D83" i="8" s="1"/>
  <c r="E85" i="8"/>
  <c r="B83" i="8"/>
  <c r="C83" i="8"/>
  <c r="I203" i="5" l="1"/>
  <c r="O202" i="5"/>
  <c r="D201" i="12"/>
  <c r="E201" i="6"/>
  <c r="AB85" i="8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I204" i="5" l="1"/>
  <c r="O203" i="5"/>
  <c r="D202" i="12"/>
  <c r="E202" i="6"/>
  <c r="O89" i="8"/>
  <c r="M89" i="8"/>
  <c r="L89" i="8"/>
  <c r="I89" i="8"/>
  <c r="R89" i="8"/>
  <c r="X88" i="8" s="1"/>
  <c r="X86" i="8" s="1"/>
  <c r="P89" i="8"/>
  <c r="H89" i="8"/>
  <c r="N89" i="8"/>
  <c r="C86" i="8"/>
  <c r="B86" i="8"/>
  <c r="E88" i="8"/>
  <c r="V88" i="8"/>
  <c r="V86" i="8" s="1"/>
  <c r="I205" i="5" l="1"/>
  <c r="O204" i="5"/>
  <c r="D203" i="12"/>
  <c r="E203" i="6"/>
  <c r="AB88" i="8"/>
  <c r="AB86" i="8" s="1"/>
  <c r="D88" i="8"/>
  <c r="D86" i="8" s="1"/>
  <c r="F90" i="8"/>
  <c r="AA88" i="8"/>
  <c r="AA86" i="8" s="1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206" i="5" l="1"/>
  <c r="O205" i="5"/>
  <c r="E204" i="6"/>
  <c r="D204" i="12"/>
  <c r="I92" i="8"/>
  <c r="O92" i="8"/>
  <c r="M92" i="8"/>
  <c r="R92" i="8"/>
  <c r="W91" i="8" s="1"/>
  <c r="W89" i="8" s="1"/>
  <c r="L92" i="8"/>
  <c r="P92" i="8"/>
  <c r="H92" i="8"/>
  <c r="N92" i="8"/>
  <c r="B89" i="8"/>
  <c r="E91" i="8"/>
  <c r="C89" i="8"/>
  <c r="D91" i="8"/>
  <c r="D89" i="8" s="1"/>
  <c r="I207" i="5" l="1"/>
  <c r="O206" i="5"/>
  <c r="D205" i="12"/>
  <c r="E205" i="6"/>
  <c r="Z91" i="8"/>
  <c r="Z89" i="8" s="1"/>
  <c r="V91" i="8"/>
  <c r="V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I208" i="5" l="1"/>
  <c r="I209" i="5" s="1"/>
  <c r="I210" i="5" s="1"/>
  <c r="I211" i="5" s="1"/>
  <c r="I212" i="5" s="1"/>
  <c r="I213" i="5" s="1"/>
  <c r="I214" i="5" s="1"/>
  <c r="I215" i="5" s="1"/>
  <c r="I216" i="5" s="1"/>
  <c r="O216" i="5" s="1"/>
  <c r="D216" i="12" s="1"/>
  <c r="O207" i="5"/>
  <c r="D206" i="12"/>
  <c r="E206" i="6"/>
  <c r="M95" i="8"/>
  <c r="L95" i="8"/>
  <c r="O95" i="8"/>
  <c r="I95" i="8"/>
  <c r="P95" i="8"/>
  <c r="H95" i="8"/>
  <c r="N95" i="8"/>
  <c r="R95" i="8"/>
  <c r="AA94" i="8" s="1"/>
  <c r="AA92" i="8" s="1"/>
  <c r="E94" i="8"/>
  <c r="C92" i="8"/>
  <c r="B92" i="8"/>
  <c r="I217" i="5" l="1"/>
  <c r="O217" i="5" s="1"/>
  <c r="E216" i="6"/>
  <c r="E207" i="6"/>
  <c r="D207" i="12"/>
  <c r="Y94" i="8"/>
  <c r="Y92" i="8" s="1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I218" i="5" l="1"/>
  <c r="I219" i="5" s="1"/>
  <c r="D217" i="12"/>
  <c r="E217" i="6"/>
  <c r="R98" i="8"/>
  <c r="AB97" i="8" s="1"/>
  <c r="AB95" i="8" s="1"/>
  <c r="M98" i="8"/>
  <c r="N98" i="8"/>
  <c r="L98" i="8"/>
  <c r="H98" i="8"/>
  <c r="I98" i="8"/>
  <c r="O98" i="8"/>
  <c r="P98" i="8"/>
  <c r="E97" i="8"/>
  <c r="C95" i="8"/>
  <c r="B95" i="8"/>
  <c r="U97" i="8"/>
  <c r="U95" i="8" s="1"/>
  <c r="AE97" i="8"/>
  <c r="AE95" i="8" s="1"/>
  <c r="O218" i="5" l="1"/>
  <c r="E218" i="6" s="1"/>
  <c r="I220" i="5"/>
  <c r="O219" i="5"/>
  <c r="F98" i="8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D218" i="12" l="1"/>
  <c r="E219" i="6"/>
  <c r="D219" i="12"/>
  <c r="O220" i="5"/>
  <c r="I221" i="5"/>
  <c r="C98" i="8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I222" i="5" l="1"/>
  <c r="O221" i="5"/>
  <c r="E220" i="6"/>
  <c r="D220" i="12"/>
  <c r="D100" i="8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D221" i="12" l="1"/>
  <c r="E221" i="6"/>
  <c r="O222" i="5"/>
  <c r="I223" i="5"/>
  <c r="N104" i="8"/>
  <c r="H104" i="8"/>
  <c r="L104" i="8"/>
  <c r="I104" i="8"/>
  <c r="R104" i="8"/>
  <c r="F105" i="8" s="1"/>
  <c r="M104" i="8"/>
  <c r="P104" i="8"/>
  <c r="O104" i="8"/>
  <c r="B101" i="8"/>
  <c r="C101" i="8"/>
  <c r="E103" i="8"/>
  <c r="I224" i="5" l="1"/>
  <c r="O223" i="5"/>
  <c r="E222" i="6"/>
  <c r="D222" i="12"/>
  <c r="AA103" i="8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D223" i="12" l="1"/>
  <c r="E223" i="6"/>
  <c r="I225" i="5"/>
  <c r="O224" i="5"/>
  <c r="M107" i="8"/>
  <c r="O107" i="8"/>
  <c r="L107" i="8"/>
  <c r="H107" i="8"/>
  <c r="N107" i="8"/>
  <c r="P107" i="8"/>
  <c r="R107" i="8"/>
  <c r="X106" i="8" s="1"/>
  <c r="X104" i="8" s="1"/>
  <c r="I107" i="8"/>
  <c r="B104" i="8"/>
  <c r="E106" i="8"/>
  <c r="C104" i="8"/>
  <c r="D224" i="12" l="1"/>
  <c r="E224" i="6"/>
  <c r="I226" i="5"/>
  <c r="O225" i="5"/>
  <c r="W106" i="8"/>
  <c r="W104" i="8" s="1"/>
  <c r="Y106" i="8"/>
  <c r="Y104" i="8" s="1"/>
  <c r="AE106" i="8"/>
  <c r="AE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E225" i="6" l="1"/>
  <c r="D225" i="12"/>
  <c r="O226" i="5"/>
  <c r="I227" i="5"/>
  <c r="P110" i="8"/>
  <c r="N110" i="8"/>
  <c r="R110" i="8"/>
  <c r="F111" i="8" s="1"/>
  <c r="O110" i="8"/>
  <c r="H110" i="8"/>
  <c r="I110" i="8"/>
  <c r="L110" i="8"/>
  <c r="M110" i="8"/>
  <c r="E109" i="8"/>
  <c r="B107" i="8"/>
  <c r="C107" i="8"/>
  <c r="AC109" i="8" l="1"/>
  <c r="AC107" i="8" s="1"/>
  <c r="D109" i="8"/>
  <c r="D107" i="8" s="1"/>
  <c r="Y109" i="8"/>
  <c r="Y107" i="8" s="1"/>
  <c r="O227" i="5"/>
  <c r="I228" i="5"/>
  <c r="E226" i="6"/>
  <c r="D226" i="12"/>
  <c r="U109" i="8"/>
  <c r="U107" i="8" s="1"/>
  <c r="T109" i="8"/>
  <c r="T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I229" i="5" l="1"/>
  <c r="O228" i="5"/>
  <c r="E227" i="6"/>
  <c r="D227" i="12"/>
  <c r="B110" i="8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D228" i="12" l="1"/>
  <c r="E228" i="6"/>
  <c r="I230" i="5"/>
  <c r="O229" i="5"/>
  <c r="F114" i="8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I231" i="5" l="1"/>
  <c r="O230" i="5"/>
  <c r="D229" i="12"/>
  <c r="E229" i="6"/>
  <c r="B113" i="8"/>
  <c r="C113" i="8"/>
  <c r="E115" i="8"/>
  <c r="M116" i="8"/>
  <c r="L116" i="8"/>
  <c r="P116" i="8"/>
  <c r="R116" i="8"/>
  <c r="H116" i="8"/>
  <c r="O116" i="8"/>
  <c r="N116" i="8"/>
  <c r="I116" i="8"/>
  <c r="I232" i="5" l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231" i="5"/>
  <c r="E230" i="6"/>
  <c r="D230" i="12"/>
  <c r="F116" i="8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248" i="5" l="1"/>
  <c r="D248" i="12" s="1"/>
  <c r="D231" i="12"/>
  <c r="E231" i="6"/>
  <c r="O119" i="8"/>
  <c r="H119" i="8"/>
  <c r="N119" i="8"/>
  <c r="R119" i="8"/>
  <c r="F119" i="8" s="1"/>
  <c r="L119" i="8"/>
  <c r="I119" i="8"/>
  <c r="P119" i="8"/>
  <c r="M119" i="8"/>
  <c r="C116" i="8"/>
  <c r="AB118" i="8"/>
  <c r="AB116" i="8" s="1"/>
  <c r="B116" i="8"/>
  <c r="E118" i="8"/>
  <c r="E248" i="6" l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F132" i="8" l="1"/>
  <c r="D130" i="8"/>
  <c r="D128" i="8" s="1"/>
  <c r="U130" i="8"/>
  <c r="U128" i="8" s="1"/>
  <c r="Y130" i="8"/>
  <c r="Y128" i="8" s="1"/>
  <c r="Z130" i="8"/>
  <c r="Z128" i="8" s="1"/>
  <c r="T130" i="8"/>
  <c r="T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X145" i="8"/>
  <c r="X143" i="8" s="1"/>
  <c r="B143" i="8"/>
  <c r="AD145" i="8"/>
  <c r="AD143" i="8" s="1"/>
  <c r="C143" i="8"/>
  <c r="Z145" i="8" l="1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/>
  <c r="Y155" i="8" s="1"/>
  <c r="W157" i="8" l="1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N50" i="8" s="1"/>
  <c r="Q50" i="8" s="1"/>
  <c r="P161" i="8"/>
  <c r="I161" i="8"/>
  <c r="M161" i="8"/>
  <c r="H161" i="8"/>
  <c r="R161" i="8"/>
  <c r="AB160" i="8" s="1"/>
  <c r="AB158" i="8" s="1"/>
  <c r="N161" i="8"/>
  <c r="O161" i="8"/>
  <c r="G51" i="8" l="1"/>
  <c r="B50" i="8"/>
  <c r="Z52" i="8"/>
  <c r="Z50" i="8" s="1"/>
  <c r="V52" i="8"/>
  <c r="V50" i="8" s="1"/>
  <c r="X52" i="8"/>
  <c r="X50" i="8" s="1"/>
  <c r="E52" i="8"/>
  <c r="W52" i="8"/>
  <c r="W50" i="8" s="1"/>
  <c r="C50" i="8"/>
  <c r="AE52" i="8"/>
  <c r="AE50" i="8" s="1"/>
  <c r="AD52" i="8"/>
  <c r="AD50" i="8" s="1"/>
  <c r="AC52" i="8"/>
  <c r="AC50" i="8" s="1"/>
  <c r="D52" i="8"/>
  <c r="D50" i="8" s="1"/>
  <c r="AB52" i="8"/>
  <c r="AB50" i="8" s="1"/>
  <c r="Y52" i="8"/>
  <c r="Y50" i="8" s="1"/>
  <c r="U52" i="8"/>
  <c r="U50" i="8" s="1"/>
  <c r="AA52" i="8"/>
  <c r="AA50" i="8" s="1"/>
  <c r="T52" i="8"/>
  <c r="T50" i="8" s="1"/>
  <c r="N44" i="8"/>
  <c r="Q44" i="8" s="1"/>
  <c r="U46" i="8" s="1"/>
  <c r="U44" i="8" s="1"/>
  <c r="N47" i="8"/>
  <c r="Q47" i="8" s="1"/>
  <c r="N38" i="8"/>
  <c r="Q38" i="8" s="1"/>
  <c r="Z40" i="8" s="1"/>
  <c r="Z38" i="8" s="1"/>
  <c r="N41" i="8"/>
  <c r="Q41" i="8" s="1"/>
  <c r="N32" i="8"/>
  <c r="Q32" i="8" s="1"/>
  <c r="AD34" i="8" s="1"/>
  <c r="AD32" i="8" s="1"/>
  <c r="N35" i="8"/>
  <c r="Q35" i="8" s="1"/>
  <c r="N26" i="8"/>
  <c r="Q26" i="8" s="1"/>
  <c r="N29" i="8"/>
  <c r="Q29" i="8" s="1"/>
  <c r="N20" i="8"/>
  <c r="Q20" i="8" s="1"/>
  <c r="N23" i="8"/>
  <c r="Q23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G50" i="8" l="1"/>
  <c r="I51" i="8" s="1"/>
  <c r="AA20" i="8"/>
  <c r="G21" i="8"/>
  <c r="G24" i="8"/>
  <c r="AD46" i="8"/>
  <c r="AD44" i="8" s="1"/>
  <c r="AC46" i="8"/>
  <c r="AC44" i="8" s="1"/>
  <c r="G48" i="8"/>
  <c r="Z46" i="8"/>
  <c r="Z44" i="8" s="1"/>
  <c r="AA46" i="8"/>
  <c r="AA44" i="8" s="1"/>
  <c r="C44" i="8"/>
  <c r="T46" i="8"/>
  <c r="T44" i="8" s="1"/>
  <c r="B44" i="8"/>
  <c r="AB46" i="8"/>
  <c r="Y46" i="8"/>
  <c r="Y44" i="8" s="1"/>
  <c r="AB44" i="8"/>
  <c r="X46" i="8"/>
  <c r="X44" i="8" s="1"/>
  <c r="D46" i="8"/>
  <c r="D44" i="8" s="1"/>
  <c r="E46" i="8"/>
  <c r="AE46" i="8"/>
  <c r="AE44" i="8" s="1"/>
  <c r="W46" i="8"/>
  <c r="W44" i="8" s="1"/>
  <c r="V46" i="8"/>
  <c r="V44" i="8" s="1"/>
  <c r="G45" i="8"/>
  <c r="B47" i="8"/>
  <c r="D49" i="8"/>
  <c r="D47" i="8" s="1"/>
  <c r="T49" i="8"/>
  <c r="T47" i="8" s="1"/>
  <c r="C47" i="8"/>
  <c r="AC49" i="8"/>
  <c r="AC47" i="8" s="1"/>
  <c r="U49" i="8"/>
  <c r="U47" i="8" s="1"/>
  <c r="V49" i="8"/>
  <c r="V47" i="8" s="1"/>
  <c r="Y49" i="8"/>
  <c r="Y47" i="8" s="1"/>
  <c r="X49" i="8"/>
  <c r="X47" i="8" s="1"/>
  <c r="AB49" i="8"/>
  <c r="AB47" i="8" s="1"/>
  <c r="W49" i="8"/>
  <c r="W47" i="8" s="1"/>
  <c r="Z49" i="8"/>
  <c r="Z47" i="8" s="1"/>
  <c r="AA49" i="8"/>
  <c r="AA47" i="8" s="1"/>
  <c r="AD49" i="8"/>
  <c r="AD47" i="8" s="1"/>
  <c r="E49" i="8"/>
  <c r="AE49" i="8"/>
  <c r="AE47" i="8" s="1"/>
  <c r="AB40" i="8"/>
  <c r="AB38" i="8" s="1"/>
  <c r="E40" i="8"/>
  <c r="AA40" i="8"/>
  <c r="AA38" i="8" s="1"/>
  <c r="C38" i="8"/>
  <c r="AC40" i="8"/>
  <c r="AC38" i="8" s="1"/>
  <c r="G39" i="8"/>
  <c r="Y40" i="8"/>
  <c r="Y38" i="8" s="1"/>
  <c r="B38" i="8"/>
  <c r="AE40" i="8"/>
  <c r="AE38" i="8" s="1"/>
  <c r="V40" i="8"/>
  <c r="V38" i="8" s="1"/>
  <c r="X40" i="8"/>
  <c r="X38" i="8" s="1"/>
  <c r="D40" i="8"/>
  <c r="D38" i="8" s="1"/>
  <c r="AD40" i="8"/>
  <c r="AD38" i="8" s="1"/>
  <c r="T40" i="8"/>
  <c r="T38" i="8" s="1"/>
  <c r="U40" i="8"/>
  <c r="U38" i="8" s="1"/>
  <c r="W40" i="8"/>
  <c r="W38" i="8" s="1"/>
  <c r="G42" i="8"/>
  <c r="AE43" i="8"/>
  <c r="AE41" i="8" s="1"/>
  <c r="AA43" i="8"/>
  <c r="AA41" i="8" s="1"/>
  <c r="AC43" i="8"/>
  <c r="AC41" i="8" s="1"/>
  <c r="X43" i="8"/>
  <c r="X41" i="8" s="1"/>
  <c r="W43" i="8"/>
  <c r="W41" i="8" s="1"/>
  <c r="E43" i="8"/>
  <c r="C41" i="8"/>
  <c r="Z43" i="8"/>
  <c r="Z41" i="8" s="1"/>
  <c r="AB43" i="8"/>
  <c r="AB41" i="8" s="1"/>
  <c r="D43" i="8"/>
  <c r="D41" i="8" s="1"/>
  <c r="B41" i="8"/>
  <c r="V43" i="8"/>
  <c r="V41" i="8" s="1"/>
  <c r="AD43" i="8"/>
  <c r="AD41" i="8" s="1"/>
  <c r="Y43" i="8"/>
  <c r="Y41" i="8" s="1"/>
  <c r="U43" i="8"/>
  <c r="U41" i="8" s="1"/>
  <c r="T43" i="8"/>
  <c r="T41" i="8" s="1"/>
  <c r="G33" i="8"/>
  <c r="V34" i="8"/>
  <c r="V32" i="8" s="1"/>
  <c r="D34" i="8"/>
  <c r="D32" i="8" s="1"/>
  <c r="C32" i="8"/>
  <c r="B32" i="8"/>
  <c r="X34" i="8"/>
  <c r="X32" i="8" s="1"/>
  <c r="T34" i="8"/>
  <c r="T32" i="8" s="1"/>
  <c r="AB34" i="8"/>
  <c r="AB32" i="8" s="1"/>
  <c r="Y34" i="8"/>
  <c r="Y32" i="8" s="1"/>
  <c r="U34" i="8"/>
  <c r="U32" i="8" s="1"/>
  <c r="Z34" i="8"/>
  <c r="Z32" i="8" s="1"/>
  <c r="AE34" i="8"/>
  <c r="AE32" i="8" s="1"/>
  <c r="E34" i="8"/>
  <c r="AA34" i="8" s="1"/>
  <c r="AA32" i="8" s="1"/>
  <c r="AC34" i="8"/>
  <c r="AC32" i="8" s="1"/>
  <c r="W34" i="8"/>
  <c r="W32" i="8" s="1"/>
  <c r="G36" i="8"/>
  <c r="E37" i="8"/>
  <c r="AB37" i="8" s="1"/>
  <c r="T37" i="8"/>
  <c r="B35" i="8"/>
  <c r="C35" i="8"/>
  <c r="AD37" i="8"/>
  <c r="X37" i="8"/>
  <c r="W37" i="8"/>
  <c r="T35" i="8"/>
  <c r="Y37" i="8"/>
  <c r="AE37" i="8"/>
  <c r="Z37" i="8"/>
  <c r="Z35" i="8"/>
  <c r="V37" i="8"/>
  <c r="AB35" i="8"/>
  <c r="AA37" i="8"/>
  <c r="AC37" i="8"/>
  <c r="U37" i="8"/>
  <c r="D37" i="8"/>
  <c r="D35" i="8" s="1"/>
  <c r="AE35" i="8"/>
  <c r="AC35" i="8"/>
  <c r="AA35" i="8"/>
  <c r="U35" i="8"/>
  <c r="Y35" i="8"/>
  <c r="V35" i="8"/>
  <c r="AD35" i="8"/>
  <c r="W35" i="8"/>
  <c r="X35" i="8"/>
  <c r="Z28" i="8"/>
  <c r="Z26" i="8" s="1"/>
  <c r="G27" i="8"/>
  <c r="G30" i="8"/>
  <c r="G18" i="8"/>
  <c r="E28" i="8"/>
  <c r="AA28" i="8" s="1"/>
  <c r="AA26" i="8" s="1"/>
  <c r="D28" i="8"/>
  <c r="D26" i="8" s="1"/>
  <c r="AB28" i="8"/>
  <c r="AB26" i="8" s="1"/>
  <c r="Y28" i="8"/>
  <c r="Y26" i="8" s="1"/>
  <c r="V28" i="8"/>
  <c r="V26" i="8" s="1"/>
  <c r="AD28" i="8"/>
  <c r="AD26" i="8" s="1"/>
  <c r="AE28" i="8"/>
  <c r="AE26" i="8" s="1"/>
  <c r="B26" i="8"/>
  <c r="C26" i="8"/>
  <c r="AC28" i="8"/>
  <c r="AC26" i="8" s="1"/>
  <c r="W28" i="8"/>
  <c r="W26" i="8" s="1"/>
  <c r="U28" i="8"/>
  <c r="U26" i="8" s="1"/>
  <c r="X28" i="8"/>
  <c r="X26" i="8" s="1"/>
  <c r="T28" i="8"/>
  <c r="T26" i="8" s="1"/>
  <c r="T31" i="8"/>
  <c r="AA31" i="8"/>
  <c r="AA29" i="8" s="1"/>
  <c r="AB31" i="8"/>
  <c r="Z31" i="8"/>
  <c r="Z29" i="8" s="1"/>
  <c r="U31" i="8"/>
  <c r="U29" i="8" s="1"/>
  <c r="Y31" i="8"/>
  <c r="Y29" i="8" s="1"/>
  <c r="X31" i="8"/>
  <c r="X29" i="8" s="1"/>
  <c r="V31" i="8"/>
  <c r="V29" i="8" s="1"/>
  <c r="C29" i="8"/>
  <c r="AD31" i="8"/>
  <c r="AD29" i="8" s="1"/>
  <c r="B29" i="8"/>
  <c r="E31" i="8"/>
  <c r="D31" i="8" s="1"/>
  <c r="D29" i="8" s="1"/>
  <c r="AC31" i="8"/>
  <c r="AC29" i="8" s="1"/>
  <c r="W31" i="8"/>
  <c r="W29" i="8" s="1"/>
  <c r="AE31" i="8"/>
  <c r="AE29" i="8" s="1"/>
  <c r="T29" i="8"/>
  <c r="AB29" i="8"/>
  <c r="Y20" i="8"/>
  <c r="X22" i="8"/>
  <c r="Y22" i="8"/>
  <c r="C20" i="8"/>
  <c r="AB22" i="8"/>
  <c r="B20" i="8"/>
  <c r="E22" i="8"/>
  <c r="D22" i="8" s="1"/>
  <c r="AC20" i="8"/>
  <c r="AE20" i="8"/>
  <c r="Z22" i="8"/>
  <c r="AC22" i="8"/>
  <c r="AD20" i="8"/>
  <c r="W22" i="8"/>
  <c r="V22" i="8"/>
  <c r="U20" i="8"/>
  <c r="AE22" i="8"/>
  <c r="AB20" i="8"/>
  <c r="U22" i="8"/>
  <c r="Z20" i="8"/>
  <c r="AA22" i="8"/>
  <c r="V20" i="8"/>
  <c r="T20" i="8"/>
  <c r="AD22" i="8"/>
  <c r="X20" i="8"/>
  <c r="W20" i="8"/>
  <c r="T22" i="8"/>
  <c r="D20" i="8"/>
  <c r="Y25" i="8"/>
  <c r="W25" i="8"/>
  <c r="Z25" i="8"/>
  <c r="B23" i="8"/>
  <c r="V25" i="8"/>
  <c r="AB25" i="8"/>
  <c r="AE25" i="8"/>
  <c r="U25" i="8"/>
  <c r="X25" i="8"/>
  <c r="AC25" i="8"/>
  <c r="T25" i="8"/>
  <c r="C23" i="8"/>
  <c r="AA25" i="8"/>
  <c r="E25" i="8"/>
  <c r="AD25" i="8" s="1"/>
  <c r="D25" i="8"/>
  <c r="AC23" i="8"/>
  <c r="U23" i="8"/>
  <c r="Y23" i="8"/>
  <c r="Z23" i="8"/>
  <c r="D23" i="8"/>
  <c r="W23" i="8"/>
  <c r="AA23" i="8"/>
  <c r="AD23" i="8"/>
  <c r="T23" i="8"/>
  <c r="AE23" i="8"/>
  <c r="AB23" i="8"/>
  <c r="V23" i="8"/>
  <c r="X23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G20" i="8" l="1"/>
  <c r="I21" i="8" s="1"/>
  <c r="G23" i="8"/>
  <c r="I24" i="8" s="1"/>
  <c r="G47" i="8"/>
  <c r="I48" i="8" s="1"/>
  <c r="G44" i="8"/>
  <c r="I45" i="8" s="1"/>
  <c r="G38" i="8"/>
  <c r="I39" i="8" s="1"/>
  <c r="G41" i="8"/>
  <c r="I42" i="8" s="1"/>
  <c r="G32" i="8"/>
  <c r="I33" i="8" s="1"/>
  <c r="G35" i="8"/>
  <c r="I36" i="8" s="1"/>
  <c r="G26" i="8"/>
  <c r="I27" i="8" s="1"/>
  <c r="G29" i="8"/>
  <c r="I30" i="8" s="1"/>
  <c r="Y16" i="8"/>
  <c r="Y14" i="8" s="1"/>
  <c r="AD16" i="8"/>
  <c r="AD14" i="8" s="1"/>
  <c r="Z19" i="8"/>
  <c r="AA19" i="8"/>
  <c r="AA16" i="8" s="1"/>
  <c r="AA14" i="8" s="1"/>
  <c r="AD17" i="8"/>
  <c r="AB19" i="8"/>
  <c r="AB16" i="8" s="1"/>
  <c r="AB14" i="8" s="1"/>
  <c r="AC19" i="8"/>
  <c r="AC16" i="8" s="1"/>
  <c r="AC14" i="8" s="1"/>
  <c r="U19" i="8"/>
  <c r="U16" i="8" s="1"/>
  <c r="U14" i="8" s="1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T16" i="8" l="1"/>
  <c r="T14" i="8" s="1"/>
  <c r="W16" i="8"/>
  <c r="W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T173" i="8" l="1" a="1"/>
  <c r="T173" i="8" s="1"/>
  <c r="T168" i="8" s="1"/>
  <c r="T174" i="8"/>
  <c r="U174" i="8" s="1"/>
  <c r="T172" i="8" a="1"/>
  <c r="T172" i="8" s="1"/>
  <c r="U172" i="8" s="1" a="1"/>
  <c r="U172" i="8" s="1"/>
  <c r="G17" i="8"/>
  <c r="I18" i="8" s="1"/>
  <c r="D174" i="8"/>
  <c r="D14" i="8"/>
  <c r="D173" i="8" a="1"/>
  <c r="D173" i="8" s="1"/>
  <c r="D168" i="8" s="1"/>
  <c r="D172" i="8" a="1"/>
  <c r="D172" i="8" s="1"/>
  <c r="D167" i="8" s="1"/>
  <c r="U173" i="8" l="1" a="1"/>
  <c r="U173" i="8" s="1"/>
  <c r="U171" i="8" s="1"/>
  <c r="T170" i="8"/>
  <c r="T171" i="8"/>
  <c r="T166" i="8" s="1"/>
  <c r="T167" i="8"/>
  <c r="T169" i="8"/>
  <c r="T165" i="8" s="1"/>
  <c r="D170" i="8"/>
  <c r="D171" i="8"/>
  <c r="D166" i="8" s="1"/>
  <c r="D169" i="8"/>
  <c r="D165" i="8" s="1"/>
  <c r="V174" i="8"/>
  <c r="U169" i="8"/>
  <c r="U165" i="8" s="1"/>
  <c r="U170" i="8"/>
  <c r="V172" i="8" a="1"/>
  <c r="V172" i="8" s="1"/>
  <c r="U167" i="8"/>
  <c r="U168" i="8" l="1"/>
  <c r="V173" i="8" a="1"/>
  <c r="V173" i="8" s="1"/>
  <c r="W173" i="8" s="1" a="1"/>
  <c r="W173" i="8" s="1"/>
  <c r="U166" i="8"/>
  <c r="W172" i="8" a="1"/>
  <c r="W172" i="8" s="1"/>
  <c r="V167" i="8"/>
  <c r="W174" i="8"/>
  <c r="V169" i="8"/>
  <c r="V165" i="8" s="1"/>
  <c r="V170" i="8"/>
  <c r="V171" i="8" l="1"/>
  <c r="V166" i="8" s="1"/>
  <c r="V168" i="8"/>
  <c r="X172" i="8" a="1"/>
  <c r="X172" i="8" s="1"/>
  <c r="W167" i="8"/>
  <c r="W169" i="8"/>
  <c r="W165" i="8" s="1"/>
  <c r="W170" i="8"/>
  <c r="X174" i="8"/>
  <c r="W171" i="8"/>
  <c r="W168" i="8"/>
  <c r="X173" i="8" a="1"/>
  <c r="X173" i="8" s="1"/>
  <c r="W166" i="8" l="1"/>
  <c r="X168" i="8"/>
  <c r="Y173" i="8" a="1"/>
  <c r="Y173" i="8" s="1"/>
  <c r="X171" i="8"/>
  <c r="X166" i="8" s="1"/>
  <c r="X170" i="8"/>
  <c r="Y174" i="8"/>
  <c r="X169" i="8"/>
  <c r="X165" i="8" s="1"/>
  <c r="X167" i="8"/>
  <c r="Y172" i="8" a="1"/>
  <c r="Y172" i="8" s="1"/>
  <c r="Y168" i="8" l="1"/>
  <c r="Z173" i="8" a="1"/>
  <c r="Z173" i="8" s="1"/>
  <c r="Z172" i="8" a="1"/>
  <c r="Z172" i="8" s="1"/>
  <c r="Y167" i="8"/>
  <c r="Y169" i="8"/>
  <c r="Y165" i="8" s="1"/>
  <c r="Y170" i="8"/>
  <c r="Z174" i="8"/>
  <c r="Y171" i="8"/>
  <c r="Y166" i="8" s="1"/>
  <c r="AA173" i="8" l="1" a="1"/>
  <c r="AA173" i="8" s="1"/>
  <c r="Z168" i="8"/>
  <c r="Z170" i="8"/>
  <c r="Z171" i="8"/>
  <c r="Z166" i="8" s="1"/>
  <c r="Z169" i="8"/>
  <c r="Z165" i="8" s="1"/>
  <c r="AA174" i="8"/>
  <c r="AA172" i="8" a="1"/>
  <c r="AA172" i="8" s="1"/>
  <c r="Z167" i="8"/>
  <c r="AB172" i="8" l="1" a="1"/>
  <c r="AB172" i="8" s="1"/>
  <c r="AA167" i="8"/>
  <c r="AA171" i="8"/>
  <c r="AA166" i="8" s="1"/>
  <c r="AA169" i="8"/>
  <c r="AA165" i="8" s="1"/>
  <c r="AB174" i="8"/>
  <c r="AA170" i="8"/>
  <c r="AA168" i="8"/>
  <c r="AB173" i="8" a="1"/>
  <c r="AB173" i="8" s="1"/>
  <c r="AC173" i="8" l="1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AC170" i="8" l="1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AD167" i="8" l="1"/>
  <c r="AE172" i="8" a="1"/>
  <c r="AE172" i="8" s="1"/>
  <c r="AD169" i="8"/>
  <c r="AD165" i="8" s="1"/>
  <c r="AD171" i="8"/>
  <c r="AD166" i="8" s="1"/>
  <c r="AD170" i="8"/>
  <c r="AE174" i="8"/>
  <c r="AD168" i="8"/>
  <c r="AE173" i="8" a="1"/>
  <c r="AE173" i="8" s="1"/>
  <c r="AE168" i="8" s="1"/>
  <c r="AE167" i="8" l="1"/>
  <c r="AF172" i="8"/>
  <c r="AF174" i="8"/>
  <c r="AE171" i="8"/>
  <c r="AE170" i="8"/>
  <c r="AE169" i="8"/>
  <c r="AE165" i="8" s="1"/>
  <c r="B9" i="9"/>
  <c r="J10" i="8"/>
  <c r="AE166" i="8" l="1"/>
  <c r="AF171" i="8"/>
  <c r="AF173" i="8" s="1"/>
  <c r="I50" i="8" l="1"/>
  <c r="AF242" i="5"/>
  <c r="AF156" i="5"/>
  <c r="AF177" i="5"/>
  <c r="AF246" i="5"/>
  <c r="AF89" i="5"/>
  <c r="AF120" i="5"/>
  <c r="AF262" i="5"/>
  <c r="AF235" i="5"/>
  <c r="AF162" i="5"/>
  <c r="AF85" i="5"/>
  <c r="AF134" i="5"/>
  <c r="AF61" i="5"/>
  <c r="AF122" i="5"/>
  <c r="AF95" i="5"/>
  <c r="AF169" i="5"/>
  <c r="AF192" i="5"/>
  <c r="AF115" i="5"/>
  <c r="AF165" i="5"/>
  <c r="AF70" i="5"/>
  <c r="AF84" i="5"/>
  <c r="AF255" i="5"/>
  <c r="AF64" i="5"/>
  <c r="AF97" i="5"/>
  <c r="AF88" i="5"/>
  <c r="AF264" i="5"/>
  <c r="AF188" i="5"/>
  <c r="AF68" i="5"/>
  <c r="AF209" i="5"/>
  <c r="AF258" i="5"/>
  <c r="AF259" i="5"/>
  <c r="AF83" i="5"/>
  <c r="AF59" i="5"/>
  <c r="AF113" i="5"/>
  <c r="AF119" i="5"/>
  <c r="AF185" i="5"/>
  <c r="AF99" i="5"/>
  <c r="AF66" i="5"/>
  <c r="AF138" i="5"/>
  <c r="AF164" i="5"/>
  <c r="AF102" i="5"/>
  <c r="AF92" i="5"/>
  <c r="AF139" i="5"/>
  <c r="AF190" i="5"/>
  <c r="AF121" i="5"/>
  <c r="AF96" i="5"/>
  <c r="AF118" i="5"/>
  <c r="AF155" i="5"/>
  <c r="AF105" i="5"/>
  <c r="AF101" i="5"/>
  <c r="AF260" i="5"/>
  <c r="AF116" i="5"/>
  <c r="AF236" i="5"/>
  <c r="AF191" i="5"/>
  <c r="AF112" i="5"/>
  <c r="AF56" i="5"/>
  <c r="AF153" i="5"/>
  <c r="AF247" i="5"/>
  <c r="AF126" i="5"/>
  <c r="AF215" i="5"/>
  <c r="AF186" i="5"/>
  <c r="AF261" i="5"/>
  <c r="AF136" i="5"/>
  <c r="AF137" i="5"/>
  <c r="AF57" i="5"/>
  <c r="AF135" i="5"/>
  <c r="AF233" i="5"/>
  <c r="AF211" i="5"/>
  <c r="AF239" i="5"/>
  <c r="AF166" i="5"/>
  <c r="AF257" i="5"/>
  <c r="AF87" i="5"/>
  <c r="AF163" i="5"/>
  <c r="AF67" i="5"/>
  <c r="AF250" i="5"/>
  <c r="AF241" i="5"/>
  <c r="AF94" i="5"/>
  <c r="AF213" i="5"/>
  <c r="AF263" i="5"/>
  <c r="AF62" i="5"/>
  <c r="AF151" i="5"/>
  <c r="AF253" i="5"/>
  <c r="AF189" i="5"/>
  <c r="AF154" i="5"/>
  <c r="AF123" i="5"/>
  <c r="AF210" i="5"/>
  <c r="AF214" i="5"/>
  <c r="AF90" i="5"/>
  <c r="AF150" i="5"/>
  <c r="AF140" i="5"/>
  <c r="AF86" i="5"/>
  <c r="AF208" i="5"/>
  <c r="AF243" i="5"/>
  <c r="AF65" i="5"/>
  <c r="AF265" i="5"/>
  <c r="AF232" i="5"/>
  <c r="AF141" i="5"/>
  <c r="AF91" i="5"/>
  <c r="AF60" i="5"/>
  <c r="AF149" i="5"/>
  <c r="AF114" i="5"/>
  <c r="AF69" i="5"/>
  <c r="AF111" i="5"/>
  <c r="AF256" i="5"/>
  <c r="AF249" i="5"/>
  <c r="AF238" i="5"/>
  <c r="AF254" i="5"/>
  <c r="AF193" i="5"/>
  <c r="AF234" i="5"/>
  <c r="AF194" i="5"/>
  <c r="AF124" i="5"/>
  <c r="AF252" i="5"/>
  <c r="AF109" i="5"/>
  <c r="AF237" i="5"/>
  <c r="AF240" i="5"/>
  <c r="AF55" i="5"/>
  <c r="AF147" i="5"/>
  <c r="AF157" i="5"/>
  <c r="AF244" i="5"/>
  <c r="AF45" i="5"/>
  <c r="AF125" i="5"/>
  <c r="AF117" i="5"/>
  <c r="AF98" i="5"/>
  <c r="AF104" i="5"/>
  <c r="AF152" i="5"/>
  <c r="AF100" i="5"/>
  <c r="AF168" i="5"/>
  <c r="AF187" i="5"/>
  <c r="AF167" i="5"/>
  <c r="AF63" i="5"/>
  <c r="AF212" i="5"/>
  <c r="AF103" i="5"/>
  <c r="AF183" i="5"/>
  <c r="AF58" i="5"/>
  <c r="AF148" i="5"/>
  <c r="AF245" i="5"/>
  <c r="AF93" i="5"/>
  <c r="AF110" i="5"/>
  <c r="AF184" i="5"/>
  <c r="AG126" i="5" l="1"/>
  <c r="S126" i="5"/>
  <c r="AG125" i="5"/>
  <c r="R125" i="5"/>
  <c r="AC125" i="5" s="1"/>
  <c r="S125" i="5"/>
  <c r="AG124" i="5"/>
  <c r="R124" i="5"/>
  <c r="S124" i="5"/>
  <c r="AG111" i="5"/>
  <c r="R111" i="5"/>
  <c r="E111" i="12" s="1"/>
  <c r="S111" i="5"/>
  <c r="F111" i="12" s="1"/>
  <c r="AG86" i="5"/>
  <c r="R86" i="5"/>
  <c r="S86" i="5"/>
  <c r="AG61" i="5"/>
  <c r="S61" i="5"/>
  <c r="F61" i="12" s="1"/>
  <c r="R61" i="5"/>
  <c r="R239" i="5"/>
  <c r="S239" i="5"/>
  <c r="AG239" i="5"/>
  <c r="AG214" i="5"/>
  <c r="S214" i="5"/>
  <c r="G214" i="6" s="1"/>
  <c r="R214" i="5"/>
  <c r="E214" i="12" s="1"/>
  <c r="AG189" i="5"/>
  <c r="S189" i="5"/>
  <c r="R189" i="5"/>
  <c r="E189" i="12" s="1"/>
  <c r="S236" i="5"/>
  <c r="AG236" i="5"/>
  <c r="AC236" i="5" s="1"/>
  <c r="R236" i="5"/>
  <c r="AG247" i="5"/>
  <c r="S247" i="5"/>
  <c r="R114" i="5"/>
  <c r="S114" i="5"/>
  <c r="G114" i="6" s="1"/>
  <c r="AG114" i="5"/>
  <c r="AG113" i="5"/>
  <c r="S113" i="5"/>
  <c r="R113" i="5"/>
  <c r="R112" i="5"/>
  <c r="E112" i="12" s="1"/>
  <c r="AG112" i="5"/>
  <c r="S112" i="5"/>
  <c r="F112" i="12" s="1"/>
  <c r="S99" i="5"/>
  <c r="AG99" i="5"/>
  <c r="R99" i="5"/>
  <c r="S62" i="5"/>
  <c r="AG62" i="5"/>
  <c r="R62" i="5"/>
  <c r="F62" i="6" s="1"/>
  <c r="S264" i="5"/>
  <c r="F264" i="12" s="1"/>
  <c r="AG264" i="5"/>
  <c r="R264" i="5"/>
  <c r="S215" i="5"/>
  <c r="F215" i="12" s="1"/>
  <c r="AG215" i="5"/>
  <c r="AG190" i="5"/>
  <c r="AC190" i="5" s="1"/>
  <c r="S190" i="5"/>
  <c r="R190" i="5"/>
  <c r="S177" i="5"/>
  <c r="AG177" i="5"/>
  <c r="S212" i="5"/>
  <c r="F212" i="12" s="1"/>
  <c r="AG212" i="5"/>
  <c r="R212" i="5"/>
  <c r="F212" i="6" s="1"/>
  <c r="S235" i="5"/>
  <c r="G235" i="6" s="1"/>
  <c r="AG235" i="5"/>
  <c r="R235" i="5"/>
  <c r="F235" i="6" s="1"/>
  <c r="AG102" i="5"/>
  <c r="S102" i="5"/>
  <c r="AC102" i="5" s="1"/>
  <c r="R102" i="5"/>
  <c r="R101" i="5"/>
  <c r="AG101" i="5"/>
  <c r="S101" i="5"/>
  <c r="R100" i="5"/>
  <c r="E100" i="12" s="1"/>
  <c r="S100" i="5"/>
  <c r="F100" i="12" s="1"/>
  <c r="AG100" i="5"/>
  <c r="R87" i="5"/>
  <c r="S87" i="5"/>
  <c r="G87" i="6" s="1"/>
  <c r="AG87" i="5"/>
  <c r="AG265" i="5"/>
  <c r="S265" i="5"/>
  <c r="F265" i="12" s="1"/>
  <c r="R265" i="5"/>
  <c r="R252" i="5"/>
  <c r="AG252" i="5"/>
  <c r="S252" i="5"/>
  <c r="S191" i="5"/>
  <c r="F191" i="12" s="1"/>
  <c r="R191" i="5"/>
  <c r="E191" i="12" s="1"/>
  <c r="AG191" i="5"/>
  <c r="R166" i="5"/>
  <c r="F166" i="6" s="1"/>
  <c r="AG166" i="5"/>
  <c r="S166" i="5"/>
  <c r="F166" i="12" s="1"/>
  <c r="R165" i="5"/>
  <c r="S165" i="5"/>
  <c r="AG165" i="5"/>
  <c r="S188" i="5"/>
  <c r="AG188" i="5"/>
  <c r="R188" i="5"/>
  <c r="R211" i="5"/>
  <c r="E211" i="12" s="1"/>
  <c r="S211" i="5"/>
  <c r="F211" i="12" s="1"/>
  <c r="AG211" i="5"/>
  <c r="R90" i="5"/>
  <c r="E90" i="12" s="1"/>
  <c r="AG90" i="5"/>
  <c r="S90" i="5"/>
  <c r="F90" i="12" s="1"/>
  <c r="S89" i="5"/>
  <c r="AG89" i="5"/>
  <c r="R89" i="5"/>
  <c r="AG88" i="5"/>
  <c r="S88" i="5"/>
  <c r="R88" i="5"/>
  <c r="AG63" i="5"/>
  <c r="S63" i="5"/>
  <c r="G63" i="6" s="1"/>
  <c r="R63" i="5"/>
  <c r="F63" i="6" s="1"/>
  <c r="AG253" i="5"/>
  <c r="R253" i="5"/>
  <c r="F253" i="6" s="1"/>
  <c r="S253" i="5"/>
  <c r="G253" i="6" s="1"/>
  <c r="R240" i="5"/>
  <c r="E240" i="12" s="1"/>
  <c r="AG240" i="5"/>
  <c r="AC240" i="5" s="1"/>
  <c r="S240" i="5"/>
  <c r="R167" i="5"/>
  <c r="AG167" i="5"/>
  <c r="S167" i="5"/>
  <c r="R154" i="5"/>
  <c r="F154" i="6" s="1"/>
  <c r="AG154" i="5"/>
  <c r="S154" i="5"/>
  <c r="F154" i="12" s="1"/>
  <c r="AG153" i="5"/>
  <c r="S153" i="5"/>
  <c r="F153" i="12" s="1"/>
  <c r="R153" i="5"/>
  <c r="F153" i="6" s="1"/>
  <c r="S164" i="5"/>
  <c r="R164" i="5"/>
  <c r="F164" i="6" s="1"/>
  <c r="AG164" i="5"/>
  <c r="R187" i="5"/>
  <c r="S187" i="5"/>
  <c r="AG187" i="5"/>
  <c r="S258" i="5"/>
  <c r="F258" i="12" s="1"/>
  <c r="AG258" i="5"/>
  <c r="R258" i="5"/>
  <c r="E258" i="12" s="1"/>
  <c r="AG66" i="5"/>
  <c r="S66" i="5"/>
  <c r="F66" i="12" s="1"/>
  <c r="R66" i="5"/>
  <c r="E66" i="12" s="1"/>
  <c r="AG65" i="5"/>
  <c r="R65" i="5"/>
  <c r="F65" i="6" s="1"/>
  <c r="S65" i="5"/>
  <c r="AG64" i="5"/>
  <c r="S64" i="5"/>
  <c r="R64" i="5"/>
  <c r="S254" i="5"/>
  <c r="F254" i="12" s="1"/>
  <c r="AG254" i="5"/>
  <c r="R254" i="5"/>
  <c r="F254" i="6" s="1"/>
  <c r="R241" i="5"/>
  <c r="F241" i="6" s="1"/>
  <c r="S241" i="5"/>
  <c r="F241" i="12" s="1"/>
  <c r="AG241" i="5"/>
  <c r="R192" i="5"/>
  <c r="E192" i="12" s="1"/>
  <c r="S192" i="5"/>
  <c r="F192" i="12" s="1"/>
  <c r="AG192" i="5"/>
  <c r="AG155" i="5"/>
  <c r="S155" i="5"/>
  <c r="R155" i="5"/>
  <c r="R118" i="5"/>
  <c r="F118" i="6" s="1"/>
  <c r="AG118" i="5"/>
  <c r="S118" i="5"/>
  <c r="F118" i="12" s="1"/>
  <c r="AG141" i="5"/>
  <c r="S141" i="5"/>
  <c r="F141" i="12" s="1"/>
  <c r="AG152" i="5"/>
  <c r="S152" i="5"/>
  <c r="F152" i="12" s="1"/>
  <c r="R152" i="5"/>
  <c r="E152" i="12" s="1"/>
  <c r="R163" i="5"/>
  <c r="S163" i="5"/>
  <c r="AG163" i="5"/>
  <c r="R246" i="5"/>
  <c r="AG246" i="5"/>
  <c r="S246" i="5"/>
  <c r="G246" i="6" s="1"/>
  <c r="S257" i="5"/>
  <c r="AG257" i="5"/>
  <c r="R257" i="5"/>
  <c r="F257" i="6" s="1"/>
  <c r="AG256" i="5"/>
  <c r="R256" i="5"/>
  <c r="E256" i="12" s="1"/>
  <c r="S256" i="5"/>
  <c r="G256" i="6" s="1"/>
  <c r="R255" i="5"/>
  <c r="AG255" i="5"/>
  <c r="S255" i="5"/>
  <c r="S242" i="5"/>
  <c r="AG242" i="5"/>
  <c r="R242" i="5"/>
  <c r="F242" i="6" s="1"/>
  <c r="AG193" i="5"/>
  <c r="S193" i="5"/>
  <c r="F193" i="12" s="1"/>
  <c r="R193" i="5"/>
  <c r="E193" i="12" s="1"/>
  <c r="AG168" i="5"/>
  <c r="S168" i="5"/>
  <c r="R168" i="5"/>
  <c r="E168" i="12" s="1"/>
  <c r="S119" i="5"/>
  <c r="AG119" i="5"/>
  <c r="R119" i="5"/>
  <c r="AG94" i="5"/>
  <c r="R94" i="5"/>
  <c r="E94" i="12" s="1"/>
  <c r="S94" i="5"/>
  <c r="F94" i="12" s="1"/>
  <c r="R117" i="5"/>
  <c r="F117" i="6" s="1"/>
  <c r="S117" i="5"/>
  <c r="AG117" i="5"/>
  <c r="S140" i="5"/>
  <c r="AG140" i="5"/>
  <c r="R140" i="5"/>
  <c r="E140" i="12" s="1"/>
  <c r="R151" i="5"/>
  <c r="S151" i="5"/>
  <c r="G151" i="6" s="1"/>
  <c r="AG151" i="5"/>
  <c r="AG234" i="5"/>
  <c r="S234" i="5"/>
  <c r="F234" i="12" s="1"/>
  <c r="R234" i="5"/>
  <c r="AG245" i="5"/>
  <c r="S245" i="5"/>
  <c r="R245" i="5"/>
  <c r="E245" i="12" s="1"/>
  <c r="S244" i="5"/>
  <c r="F244" i="12" s="1"/>
  <c r="AG244" i="5"/>
  <c r="R244" i="5"/>
  <c r="F244" i="6" s="1"/>
  <c r="S243" i="5"/>
  <c r="AG243" i="5"/>
  <c r="R243" i="5"/>
  <c r="AG194" i="5"/>
  <c r="S194" i="5"/>
  <c r="F194" i="12" s="1"/>
  <c r="S169" i="5"/>
  <c r="F169" i="12" s="1"/>
  <c r="AG169" i="5"/>
  <c r="AG156" i="5"/>
  <c r="R156" i="5"/>
  <c r="E156" i="12" s="1"/>
  <c r="S156" i="5"/>
  <c r="F156" i="12" s="1"/>
  <c r="S95" i="5"/>
  <c r="F95" i="12" s="1"/>
  <c r="AG95" i="5"/>
  <c r="R95" i="5"/>
  <c r="AG70" i="5"/>
  <c r="S70" i="5"/>
  <c r="AG105" i="5"/>
  <c r="S105" i="5"/>
  <c r="F105" i="12" s="1"/>
  <c r="R116" i="5"/>
  <c r="F116" i="6" s="1"/>
  <c r="S116" i="5"/>
  <c r="F116" i="12" s="1"/>
  <c r="AG116" i="5"/>
  <c r="S139" i="5"/>
  <c r="F139" i="12" s="1"/>
  <c r="AG139" i="5"/>
  <c r="R139" i="5"/>
  <c r="E139" i="12" s="1"/>
  <c r="AG210" i="5"/>
  <c r="AC210" i="5" s="1"/>
  <c r="S210" i="5"/>
  <c r="R210" i="5"/>
  <c r="AG233" i="5"/>
  <c r="S233" i="5"/>
  <c r="R233" i="5"/>
  <c r="E233" i="12" s="1"/>
  <c r="AG232" i="5"/>
  <c r="S232" i="5"/>
  <c r="F232" i="12" s="1"/>
  <c r="R232" i="5"/>
  <c r="AG157" i="5"/>
  <c r="S157" i="5"/>
  <c r="R120" i="5"/>
  <c r="S120" i="5"/>
  <c r="G120" i="6" s="1"/>
  <c r="AG120" i="5"/>
  <c r="AG83" i="5"/>
  <c r="S83" i="5"/>
  <c r="F83" i="12" s="1"/>
  <c r="R83" i="5"/>
  <c r="F83" i="6" s="1"/>
  <c r="R58" i="5"/>
  <c r="F58" i="6" s="1"/>
  <c r="AG58" i="5"/>
  <c r="S58" i="5"/>
  <c r="F58" i="12" s="1"/>
  <c r="S93" i="5"/>
  <c r="R93" i="5"/>
  <c r="F93" i="6" s="1"/>
  <c r="AG93" i="5"/>
  <c r="AG104" i="5"/>
  <c r="R104" i="5"/>
  <c r="E104" i="12" s="1"/>
  <c r="S104" i="5"/>
  <c r="G104" i="6" s="1"/>
  <c r="R115" i="5"/>
  <c r="E115" i="12" s="1"/>
  <c r="S115" i="5"/>
  <c r="F115" i="12" s="1"/>
  <c r="AG115" i="5"/>
  <c r="R186" i="5"/>
  <c r="AG186" i="5"/>
  <c r="S186" i="5"/>
  <c r="G186" i="6" s="1"/>
  <c r="AG209" i="5"/>
  <c r="R209" i="5"/>
  <c r="F209" i="6" s="1"/>
  <c r="S209" i="5"/>
  <c r="S208" i="5"/>
  <c r="AG208" i="5"/>
  <c r="R208" i="5"/>
  <c r="E208" i="12" s="1"/>
  <c r="AG183" i="5"/>
  <c r="R183" i="5"/>
  <c r="F183" i="6" s="1"/>
  <c r="S183" i="5"/>
  <c r="F183" i="12" s="1"/>
  <c r="AG134" i="5"/>
  <c r="R134" i="5"/>
  <c r="S134" i="5"/>
  <c r="F134" i="12" s="1"/>
  <c r="S121" i="5"/>
  <c r="F121" i="12" s="1"/>
  <c r="AG121" i="5"/>
  <c r="R121" i="5"/>
  <c r="R96" i="5"/>
  <c r="E96" i="12" s="1"/>
  <c r="S96" i="5"/>
  <c r="F96" i="12" s="1"/>
  <c r="AG96" i="5"/>
  <c r="R59" i="5"/>
  <c r="F59" i="6" s="1"/>
  <c r="AG59" i="5"/>
  <c r="S59" i="5"/>
  <c r="G59" i="6" s="1"/>
  <c r="AG261" i="5"/>
  <c r="S261" i="5"/>
  <c r="R261" i="5"/>
  <c r="F261" i="6" s="1"/>
  <c r="R69" i="5"/>
  <c r="F69" i="6" s="1"/>
  <c r="AG69" i="5"/>
  <c r="S69" i="5"/>
  <c r="AG92" i="5"/>
  <c r="S92" i="5"/>
  <c r="F92" i="12" s="1"/>
  <c r="R92" i="5"/>
  <c r="E92" i="12" s="1"/>
  <c r="S103" i="5"/>
  <c r="AG103" i="5"/>
  <c r="R103" i="5"/>
  <c r="E103" i="12" s="1"/>
  <c r="S162" i="5"/>
  <c r="R162" i="5"/>
  <c r="AG162" i="5"/>
  <c r="R185" i="5"/>
  <c r="F185" i="6" s="1"/>
  <c r="AG185" i="5"/>
  <c r="S185" i="5"/>
  <c r="R184" i="5"/>
  <c r="AG184" i="5"/>
  <c r="S184" i="5"/>
  <c r="F184" i="12" s="1"/>
  <c r="R147" i="5"/>
  <c r="E147" i="12" s="1"/>
  <c r="AG147" i="5"/>
  <c r="S147" i="5"/>
  <c r="G147" i="6" s="1"/>
  <c r="AG122" i="5"/>
  <c r="S122" i="5"/>
  <c r="R122" i="5"/>
  <c r="E122" i="12" s="1"/>
  <c r="S109" i="5"/>
  <c r="F109" i="12" s="1"/>
  <c r="AG109" i="5"/>
  <c r="R109" i="5"/>
  <c r="R84" i="5"/>
  <c r="S84" i="5"/>
  <c r="F84" i="12" s="1"/>
  <c r="AG84" i="5"/>
  <c r="S262" i="5"/>
  <c r="F262" i="12" s="1"/>
  <c r="R262" i="5"/>
  <c r="F262" i="6" s="1"/>
  <c r="AG262" i="5"/>
  <c r="AG249" i="5"/>
  <c r="S249" i="5"/>
  <c r="R249" i="5"/>
  <c r="E249" i="12" s="1"/>
  <c r="AG57" i="5"/>
  <c r="S57" i="5"/>
  <c r="F57" i="12" s="1"/>
  <c r="R57" i="5"/>
  <c r="F57" i="6" s="1"/>
  <c r="AG68" i="5"/>
  <c r="R68" i="5"/>
  <c r="F68" i="6" s="1"/>
  <c r="S68" i="5"/>
  <c r="F68" i="12" s="1"/>
  <c r="S91" i="5"/>
  <c r="AG91" i="5"/>
  <c r="R91" i="5"/>
  <c r="E91" i="12" s="1"/>
  <c r="AG150" i="5"/>
  <c r="S150" i="5"/>
  <c r="R150" i="5"/>
  <c r="F150" i="6" s="1"/>
  <c r="S149" i="5"/>
  <c r="F149" i="12" s="1"/>
  <c r="R149" i="5"/>
  <c r="E149" i="12" s="1"/>
  <c r="AG149" i="5"/>
  <c r="S148" i="5"/>
  <c r="AG148" i="5"/>
  <c r="R148" i="5"/>
  <c r="E148" i="12" s="1"/>
  <c r="S135" i="5"/>
  <c r="F135" i="12" s="1"/>
  <c r="AG135" i="5"/>
  <c r="R135" i="5"/>
  <c r="F135" i="6" s="1"/>
  <c r="S110" i="5"/>
  <c r="AG110" i="5"/>
  <c r="R110" i="5"/>
  <c r="F110" i="6" s="1"/>
  <c r="S97" i="5"/>
  <c r="AG97" i="5"/>
  <c r="R97" i="5"/>
  <c r="R60" i="5"/>
  <c r="AG60" i="5"/>
  <c r="S60" i="5"/>
  <c r="F60" i="12" s="1"/>
  <c r="S250" i="5"/>
  <c r="F250" i="12" s="1"/>
  <c r="AG250" i="5"/>
  <c r="R250" i="5"/>
  <c r="E250" i="12" s="1"/>
  <c r="R237" i="5"/>
  <c r="S237" i="5"/>
  <c r="AG237" i="5"/>
  <c r="AG45" i="5"/>
  <c r="S45" i="5"/>
  <c r="F45" i="12" s="1"/>
  <c r="AG56" i="5"/>
  <c r="S56" i="5"/>
  <c r="F56" i="12" s="1"/>
  <c r="R56" i="5"/>
  <c r="F56" i="6" s="1"/>
  <c r="R67" i="5"/>
  <c r="E67" i="12" s="1"/>
  <c r="AG67" i="5"/>
  <c r="S67" i="5"/>
  <c r="F67" i="12" s="1"/>
  <c r="AG138" i="5"/>
  <c r="S138" i="5"/>
  <c r="F138" i="12" s="1"/>
  <c r="R138" i="5"/>
  <c r="F138" i="6" s="1"/>
  <c r="S137" i="5"/>
  <c r="G137" i="6" s="1"/>
  <c r="AG137" i="5"/>
  <c r="R137" i="5"/>
  <c r="E137" i="12" s="1"/>
  <c r="S136" i="5"/>
  <c r="AG136" i="5"/>
  <c r="R136" i="5"/>
  <c r="E136" i="12" s="1"/>
  <c r="S123" i="5"/>
  <c r="F123" i="12" s="1"/>
  <c r="AG123" i="5"/>
  <c r="R123" i="5"/>
  <c r="E123" i="12" s="1"/>
  <c r="S98" i="5"/>
  <c r="G98" i="6" s="1"/>
  <c r="AG98" i="5"/>
  <c r="R98" i="5"/>
  <c r="F98" i="6" s="1"/>
  <c r="R85" i="5"/>
  <c r="E85" i="12" s="1"/>
  <c r="AG85" i="5"/>
  <c r="S85" i="5"/>
  <c r="F85" i="12" s="1"/>
  <c r="R263" i="5"/>
  <c r="F263" i="6" s="1"/>
  <c r="AG263" i="5"/>
  <c r="S263" i="5"/>
  <c r="F263" i="12" s="1"/>
  <c r="AG238" i="5"/>
  <c r="S238" i="5"/>
  <c r="R238" i="5"/>
  <c r="E238" i="12" s="1"/>
  <c r="AG213" i="5"/>
  <c r="S213" i="5"/>
  <c r="F213" i="12" s="1"/>
  <c r="R213" i="5"/>
  <c r="F213" i="6" s="1"/>
  <c r="AG260" i="5"/>
  <c r="S260" i="5"/>
  <c r="F260" i="12" s="1"/>
  <c r="R260" i="5"/>
  <c r="F260" i="6" s="1"/>
  <c r="AG259" i="5"/>
  <c r="R259" i="5"/>
  <c r="S259" i="5"/>
  <c r="AG55" i="5"/>
  <c r="R55" i="5"/>
  <c r="E55" i="12" s="1"/>
  <c r="S55" i="5"/>
  <c r="G55" i="6" s="1"/>
  <c r="F70" i="12"/>
  <c r="AC70" i="5"/>
  <c r="F119" i="6"/>
  <c r="E119" i="12"/>
  <c r="AC119" i="5"/>
  <c r="F252" i="6"/>
  <c r="E252" i="12"/>
  <c r="AC252" i="5"/>
  <c r="F86" i="12"/>
  <c r="G86" i="6"/>
  <c r="F99" i="12"/>
  <c r="G99" i="6"/>
  <c r="F243" i="12"/>
  <c r="G243" i="6"/>
  <c r="F124" i="12"/>
  <c r="G124" i="6"/>
  <c r="E101" i="12"/>
  <c r="F101" i="6"/>
  <c r="AC101" i="5"/>
  <c r="E210" i="12"/>
  <c r="F210" i="6"/>
  <c r="F151" i="12"/>
  <c r="E164" i="12"/>
  <c r="E236" i="12"/>
  <c r="F236" i="6"/>
  <c r="F249" i="12"/>
  <c r="G249" i="6"/>
  <c r="F86" i="6"/>
  <c r="E86" i="12"/>
  <c r="F134" i="6"/>
  <c r="E134" i="12"/>
  <c r="F255" i="12"/>
  <c r="G255" i="6"/>
  <c r="F88" i="6"/>
  <c r="E88" i="12"/>
  <c r="AC88" i="5"/>
  <c r="F113" i="6"/>
  <c r="E113" i="12"/>
  <c r="F185" i="12"/>
  <c r="G185" i="6"/>
  <c r="G90" i="6"/>
  <c r="F210" i="12"/>
  <c r="G210" i="6"/>
  <c r="G56" i="6"/>
  <c r="F177" i="12"/>
  <c r="AC177" i="5"/>
  <c r="F155" i="6"/>
  <c r="E155" i="12"/>
  <c r="AC155" i="5"/>
  <c r="AC215" i="5"/>
  <c r="G192" i="6"/>
  <c r="F88" i="12"/>
  <c r="G88" i="6"/>
  <c r="F151" i="6"/>
  <c r="E151" i="12"/>
  <c r="AC151" i="5"/>
  <c r="F236" i="12"/>
  <c r="G236" i="6"/>
  <c r="F69" i="12"/>
  <c r="G69" i="6"/>
  <c r="F155" i="12"/>
  <c r="G155" i="6"/>
  <c r="F96" i="6"/>
  <c r="E264" i="12"/>
  <c r="F264" i="6"/>
  <c r="E255" i="12"/>
  <c r="F255" i="6"/>
  <c r="AC255" i="5"/>
  <c r="F136" i="12"/>
  <c r="G136" i="6"/>
  <c r="F65" i="12"/>
  <c r="G65" i="6"/>
  <c r="E247" i="12"/>
  <c r="F247" i="6"/>
  <c r="AC247" i="5"/>
  <c r="F189" i="12"/>
  <c r="G189" i="6"/>
  <c r="F261" i="12"/>
  <c r="G261" i="6"/>
  <c r="E97" i="12"/>
  <c r="F97" i="6"/>
  <c r="F157" i="12"/>
  <c r="F125" i="6"/>
  <c r="E125" i="12"/>
  <c r="E209" i="12"/>
  <c r="E102" i="12"/>
  <c r="F102" i="6"/>
  <c r="F150" i="12"/>
  <c r="G150" i="6"/>
  <c r="F163" i="12"/>
  <c r="G163" i="6"/>
  <c r="F247" i="12"/>
  <c r="G247" i="6"/>
  <c r="F167" i="12"/>
  <c r="G167" i="6"/>
  <c r="F239" i="12"/>
  <c r="G239" i="6"/>
  <c r="F163" i="6"/>
  <c r="E163" i="12"/>
  <c r="AC163" i="5"/>
  <c r="E213" i="12"/>
  <c r="E190" i="12"/>
  <c r="F190" i="6"/>
  <c r="F239" i="6"/>
  <c r="E239" i="12"/>
  <c r="AC239" i="5"/>
  <c r="E60" i="12"/>
  <c r="F60" i="6"/>
  <c r="E120" i="12"/>
  <c r="F120" i="6"/>
  <c r="F242" i="12"/>
  <c r="G242" i="6"/>
  <c r="F148" i="12"/>
  <c r="G148" i="6"/>
  <c r="F125" i="12"/>
  <c r="G125" i="6"/>
  <c r="F209" i="12"/>
  <c r="G209" i="6"/>
  <c r="E187" i="12"/>
  <c r="F187" i="6"/>
  <c r="AC187" i="5"/>
  <c r="E188" i="12"/>
  <c r="F188" i="6"/>
  <c r="AC188" i="5"/>
  <c r="E153" i="12"/>
  <c r="F190" i="12"/>
  <c r="G190" i="6"/>
  <c r="F167" i="6"/>
  <c r="E167" i="12"/>
  <c r="AC167" i="5"/>
  <c r="F240" i="12"/>
  <c r="G240" i="6"/>
  <c r="F61" i="6"/>
  <c r="E61" i="12"/>
  <c r="AC61" i="5"/>
  <c r="F62" i="12"/>
  <c r="G62" i="6"/>
  <c r="F64" i="12"/>
  <c r="G64" i="6"/>
  <c r="F89" i="6"/>
  <c r="E89" i="12"/>
  <c r="F162" i="6"/>
  <c r="E162" i="12"/>
  <c r="F187" i="12"/>
  <c r="G187" i="6"/>
  <c r="F95" i="6"/>
  <c r="E95" i="12"/>
  <c r="G61" i="6"/>
  <c r="F253" i="12"/>
  <c r="F87" i="12"/>
  <c r="F256" i="6"/>
  <c r="F233" i="12"/>
  <c r="G233" i="6"/>
  <c r="F246" i="6"/>
  <c r="E246" i="12"/>
  <c r="F259" i="6"/>
  <c r="E259" i="12"/>
  <c r="F140" i="12"/>
  <c r="G140" i="6"/>
  <c r="F188" i="12"/>
  <c r="G188" i="6"/>
  <c r="E109" i="12"/>
  <c r="F109" i="6"/>
  <c r="F122" i="12"/>
  <c r="G122" i="6"/>
  <c r="E64" i="12"/>
  <c r="F64" i="6"/>
  <c r="AC64" i="5"/>
  <c r="F112" i="6"/>
  <c r="AC112" i="5"/>
  <c r="F184" i="6"/>
  <c r="E184" i="12"/>
  <c r="F89" i="12"/>
  <c r="G89" i="6"/>
  <c r="E114" i="12"/>
  <c r="F114" i="6"/>
  <c r="F165" i="12"/>
  <c r="G165" i="6"/>
  <c r="F237" i="12"/>
  <c r="G237" i="6"/>
  <c r="F252" i="12"/>
  <c r="G252" i="6"/>
  <c r="F121" i="6"/>
  <c r="E121" i="12"/>
  <c r="F99" i="6"/>
  <c r="E99" i="12"/>
  <c r="AC99" i="5"/>
  <c r="E243" i="12"/>
  <c r="F243" i="6"/>
  <c r="AC243" i="5"/>
  <c r="E124" i="12"/>
  <c r="F124" i="6"/>
  <c r="AC124" i="5"/>
  <c r="F101" i="12"/>
  <c r="G101" i="6"/>
  <c r="F126" i="12"/>
  <c r="AC126" i="5"/>
  <c r="F165" i="6"/>
  <c r="E165" i="12"/>
  <c r="AC165" i="5"/>
  <c r="F119" i="12"/>
  <c r="G119" i="6"/>
  <c r="E84" i="12"/>
  <c r="F84" i="6"/>
  <c r="E265" i="12"/>
  <c r="F265" i="6"/>
  <c r="F208" i="12"/>
  <c r="G208" i="6"/>
  <c r="F256" i="12" l="1"/>
  <c r="AC157" i="5"/>
  <c r="G153" i="6"/>
  <c r="AC45" i="5"/>
  <c r="AC97" i="5"/>
  <c r="E260" i="12"/>
  <c r="G57" i="6"/>
  <c r="G139" i="6"/>
  <c r="F149" i="6"/>
  <c r="E93" i="12"/>
  <c r="F193" i="6"/>
  <c r="G241" i="6"/>
  <c r="G66" i="6"/>
  <c r="F137" i="6"/>
  <c r="F245" i="6"/>
  <c r="E253" i="12"/>
  <c r="F156" i="6"/>
  <c r="E257" i="12"/>
  <c r="G92" i="6"/>
  <c r="F140" i="6"/>
  <c r="E244" i="12"/>
  <c r="G112" i="6"/>
  <c r="G102" i="6"/>
  <c r="G265" i="6"/>
  <c r="F152" i="6"/>
  <c r="F102" i="12"/>
  <c r="E65" i="12"/>
  <c r="F168" i="6"/>
  <c r="E98" i="12"/>
  <c r="AC209" i="5"/>
  <c r="AC93" i="5"/>
  <c r="F85" i="6"/>
  <c r="F137" i="12"/>
  <c r="F122" i="6"/>
  <c r="E263" i="12"/>
  <c r="F211" i="6"/>
  <c r="F100" i="6"/>
  <c r="E118" i="12"/>
  <c r="F114" i="12"/>
  <c r="F94" i="6"/>
  <c r="E154" i="12"/>
  <c r="F249" i="6"/>
  <c r="E262" i="12"/>
  <c r="AC237" i="5"/>
  <c r="AC110" i="5"/>
  <c r="AC150" i="5"/>
  <c r="AC249" i="5"/>
  <c r="AC122" i="5"/>
  <c r="E150" i="12"/>
  <c r="G244" i="6"/>
  <c r="E110" i="12"/>
  <c r="G166" i="6"/>
  <c r="E235" i="12"/>
  <c r="F186" i="12"/>
  <c r="G156" i="6"/>
  <c r="E261" i="12"/>
  <c r="G134" i="6"/>
  <c r="G58" i="6"/>
  <c r="F66" i="6"/>
  <c r="F189" i="6"/>
  <c r="AC85" i="5"/>
  <c r="AC137" i="5"/>
  <c r="G234" i="6"/>
  <c r="G258" i="6"/>
  <c r="G254" i="6"/>
  <c r="AC233" i="5"/>
  <c r="G191" i="6"/>
  <c r="F233" i="6"/>
  <c r="AC194" i="5"/>
  <c r="G212" i="6"/>
  <c r="AC162" i="5"/>
  <c r="AC261" i="5"/>
  <c r="AC134" i="5"/>
  <c r="AC186" i="5"/>
  <c r="F55" i="12"/>
  <c r="AC244" i="5"/>
  <c r="AC140" i="5"/>
  <c r="AC168" i="5"/>
  <c r="AC65" i="5"/>
  <c r="AC164" i="5"/>
  <c r="AC89" i="5"/>
  <c r="G85" i="6"/>
  <c r="AC105" i="5"/>
  <c r="AC234" i="5"/>
  <c r="G83" i="6"/>
  <c r="G115" i="6"/>
  <c r="F238" i="6"/>
  <c r="G67" i="6"/>
  <c r="AC246" i="5"/>
  <c r="F214" i="12"/>
  <c r="AC259" i="5"/>
  <c r="AC114" i="5"/>
  <c r="AC156" i="5"/>
  <c r="AC141" i="5"/>
  <c r="E83" i="12"/>
  <c r="E135" i="12"/>
  <c r="F59" i="12"/>
  <c r="F250" i="6"/>
  <c r="G183" i="6"/>
  <c r="F98" i="12"/>
  <c r="F147" i="12"/>
  <c r="F103" i="6"/>
  <c r="E183" i="12"/>
  <c r="F97" i="12"/>
  <c r="AC265" i="5"/>
  <c r="G149" i="6"/>
  <c r="F91" i="6"/>
  <c r="AC185" i="5"/>
  <c r="AC98" i="5"/>
  <c r="AC139" i="5"/>
  <c r="E185" i="12"/>
  <c r="G121" i="6"/>
  <c r="AC121" i="5"/>
  <c r="F139" i="6"/>
  <c r="AC260" i="5"/>
  <c r="G93" i="6"/>
  <c r="F93" i="12"/>
  <c r="AC95" i="5"/>
  <c r="AC69" i="5"/>
  <c r="G164" i="6"/>
  <c r="G168" i="6"/>
  <c r="AC109" i="5"/>
  <c r="E69" i="12"/>
  <c r="F123" i="6"/>
  <c r="AC192" i="5"/>
  <c r="F164" i="12"/>
  <c r="AC149" i="5"/>
  <c r="F168" i="12"/>
  <c r="AC256" i="5"/>
  <c r="F192" i="6"/>
  <c r="E138" i="12"/>
  <c r="G95" i="6"/>
  <c r="F240" i="6"/>
  <c r="G109" i="6"/>
  <c r="G260" i="6"/>
  <c r="G152" i="6"/>
  <c r="E58" i="12"/>
  <c r="AC152" i="5"/>
  <c r="G97" i="6"/>
  <c r="AC213" i="5"/>
  <c r="F237" i="6"/>
  <c r="E237" i="12"/>
  <c r="AC91" i="5"/>
  <c r="AC103" i="5"/>
  <c r="AC183" i="5"/>
  <c r="AC83" i="5"/>
  <c r="F186" i="6"/>
  <c r="G138" i="6"/>
  <c r="AC138" i="5"/>
  <c r="E186" i="12"/>
  <c r="G213" i="6"/>
  <c r="G162" i="6"/>
  <c r="F162" i="12"/>
  <c r="F110" i="12"/>
  <c r="G110" i="6"/>
  <c r="AC58" i="5"/>
  <c r="G259" i="6"/>
  <c r="F63" i="12"/>
  <c r="AC238" i="5"/>
  <c r="AC123" i="5"/>
  <c r="AC67" i="5"/>
  <c r="AC232" i="5"/>
  <c r="AC116" i="5"/>
  <c r="AC245" i="5"/>
  <c r="AC117" i="5"/>
  <c r="AC66" i="5"/>
  <c r="AC153" i="5"/>
  <c r="AC253" i="5"/>
  <c r="AC87" i="5"/>
  <c r="AC189" i="5"/>
  <c r="AC86" i="5"/>
  <c r="G211" i="6"/>
  <c r="E234" i="12"/>
  <c r="F246" i="12"/>
  <c r="E116" i="12"/>
  <c r="E68" i="12"/>
  <c r="F258" i="6"/>
  <c r="AC184" i="5"/>
  <c r="AC120" i="5"/>
  <c r="E212" i="12"/>
  <c r="G184" i="6"/>
  <c r="F104" i="12"/>
  <c r="AC254" i="5"/>
  <c r="F104" i="6"/>
  <c r="AC56" i="5"/>
  <c r="F259" i="12"/>
  <c r="F120" i="12"/>
  <c r="F234" i="6"/>
  <c r="AC84" i="5"/>
  <c r="AC96" i="5"/>
  <c r="AC169" i="5"/>
  <c r="AC211" i="5"/>
  <c r="AC191" i="5"/>
  <c r="AC100" i="5"/>
  <c r="F111" i="6"/>
  <c r="E56" i="12"/>
  <c r="G100" i="6"/>
  <c r="AC242" i="5"/>
  <c r="AC94" i="5"/>
  <c r="E242" i="12"/>
  <c r="F235" i="12"/>
  <c r="AC136" i="5"/>
  <c r="G94" i="6"/>
  <c r="F136" i="6"/>
  <c r="G84" i="6"/>
  <c r="G263" i="6"/>
  <c r="E87" i="12"/>
  <c r="F191" i="6"/>
  <c r="AC62" i="5"/>
  <c r="G96" i="6"/>
  <c r="E62" i="12"/>
  <c r="AC257" i="5"/>
  <c r="AC264" i="5"/>
  <c r="AC113" i="5"/>
  <c r="E254" i="12"/>
  <c r="E117" i="12"/>
  <c r="AC115" i="5"/>
  <c r="AC68" i="5"/>
  <c r="AC92" i="5"/>
  <c r="AC262" i="5"/>
  <c r="AC60" i="5"/>
  <c r="AC148" i="5"/>
  <c r="G68" i="6"/>
  <c r="F92" i="6"/>
  <c r="F148" i="6"/>
  <c r="F90" i="6"/>
  <c r="G232" i="6"/>
  <c r="G264" i="6"/>
  <c r="AC111" i="5"/>
  <c r="G257" i="6"/>
  <c r="E232" i="12"/>
  <c r="AC154" i="5"/>
  <c r="AC208" i="5"/>
  <c r="F67" i="6"/>
  <c r="AC214" i="5"/>
  <c r="G123" i="6"/>
  <c r="G60" i="6"/>
  <c r="F257" i="12"/>
  <c r="AC104" i="5"/>
  <c r="F208" i="6"/>
  <c r="G103" i="6"/>
  <c r="G154" i="6"/>
  <c r="F214" i="6"/>
  <c r="G116" i="6"/>
  <c r="G111" i="6"/>
  <c r="AC63" i="5"/>
  <c r="E166" i="12"/>
  <c r="E63" i="12"/>
  <c r="AC118" i="5"/>
  <c r="AC212" i="5"/>
  <c r="AC258" i="5"/>
  <c r="G118" i="6"/>
  <c r="F87" i="6"/>
  <c r="AC193" i="5"/>
  <c r="F115" i="6"/>
  <c r="F103" i="12"/>
  <c r="F232" i="6"/>
  <c r="AC235" i="5"/>
  <c r="AC57" i="5"/>
  <c r="AC55" i="5"/>
  <c r="E57" i="12"/>
  <c r="AC135" i="5"/>
  <c r="F55" i="6"/>
  <c r="AC241" i="5"/>
  <c r="G262" i="6"/>
  <c r="G117" i="6"/>
  <c r="AC59" i="5"/>
  <c r="AC147" i="5"/>
  <c r="E241" i="12"/>
  <c r="F117" i="12"/>
  <c r="G113" i="6"/>
  <c r="G91" i="6"/>
  <c r="E59" i="12"/>
  <c r="F147" i="6"/>
  <c r="G238" i="6"/>
  <c r="F113" i="12"/>
  <c r="AC250" i="5"/>
  <c r="F91" i="12"/>
  <c r="F238" i="12"/>
  <c r="F245" i="12"/>
  <c r="G245" i="6"/>
  <c r="G250" i="6"/>
  <c r="G135" i="6"/>
  <c r="G193" i="6"/>
  <c r="AC166" i="5"/>
  <c r="AC90" i="5"/>
  <c r="AC263" i="5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AF251" i="5"/>
  <c r="AF176" i="5"/>
  <c r="C27" i="10" l="1"/>
  <c r="C27" i="9"/>
  <c r="R176" i="5"/>
  <c r="S176" i="5"/>
  <c r="AG176" i="5"/>
  <c r="S251" i="5"/>
  <c r="AG251" i="5"/>
  <c r="R251" i="5"/>
  <c r="F176" i="12" l="1"/>
  <c r="G176" i="6"/>
  <c r="F176" i="6"/>
  <c r="E176" i="12"/>
  <c r="AC176" i="5"/>
  <c r="F251" i="6"/>
  <c r="E251" i="12"/>
  <c r="AC251" i="5"/>
  <c r="F251" i="12"/>
  <c r="G251" i="6"/>
  <c r="F248" i="12"/>
  <c r="G248" i="6"/>
  <c r="AF81" i="5"/>
  <c r="AF52" i="5"/>
  <c r="AF48" i="5"/>
  <c r="AF74" i="5"/>
  <c r="AF131" i="5"/>
  <c r="AF79" i="5"/>
  <c r="AF80" i="5"/>
  <c r="AF54" i="5"/>
  <c r="AF75" i="5"/>
  <c r="AF73" i="5"/>
  <c r="AG81" i="5" l="1"/>
  <c r="R81" i="5"/>
  <c r="S81" i="5"/>
  <c r="R52" i="5"/>
  <c r="S52" i="5"/>
  <c r="AG52" i="5"/>
  <c r="AG80" i="5"/>
  <c r="S80" i="5"/>
  <c r="R80" i="5"/>
  <c r="R79" i="5"/>
  <c r="AG79" i="5"/>
  <c r="S79" i="5"/>
  <c r="R73" i="5"/>
  <c r="S73" i="5"/>
  <c r="AG73" i="5"/>
  <c r="AG74" i="5"/>
  <c r="S75" i="5"/>
  <c r="S131" i="5"/>
  <c r="R74" i="5"/>
  <c r="R75" i="5"/>
  <c r="AG131" i="5"/>
  <c r="S74" i="5"/>
  <c r="AG75" i="5"/>
  <c r="R131" i="5"/>
  <c r="R54" i="5"/>
  <c r="AG48" i="5"/>
  <c r="S54" i="5"/>
  <c r="R48" i="5"/>
  <c r="AG54" i="5"/>
  <c r="S48" i="5"/>
  <c r="E48" i="12" l="1"/>
  <c r="F48" i="6"/>
  <c r="AC48" i="5"/>
  <c r="G54" i="6"/>
  <c r="F54" i="12"/>
  <c r="G52" i="6"/>
  <c r="F52" i="12"/>
  <c r="AC54" i="5"/>
  <c r="E54" i="12"/>
  <c r="F54" i="6"/>
  <c r="E52" i="12"/>
  <c r="F52" i="6"/>
  <c r="AC52" i="5"/>
  <c r="E131" i="12"/>
  <c r="F131" i="6"/>
  <c r="AC131" i="5"/>
  <c r="F80" i="6"/>
  <c r="E80" i="12"/>
  <c r="AC80" i="5"/>
  <c r="F74" i="12"/>
  <c r="G74" i="6"/>
  <c r="F80" i="12"/>
  <c r="G80" i="6"/>
  <c r="F75" i="6"/>
  <c r="E75" i="12"/>
  <c r="AC75" i="5"/>
  <c r="E74" i="12"/>
  <c r="F74" i="6"/>
  <c r="AC74" i="5"/>
  <c r="F131" i="12"/>
  <c r="G131" i="6"/>
  <c r="F75" i="12"/>
  <c r="G75" i="6"/>
  <c r="F48" i="12"/>
  <c r="G48" i="6"/>
  <c r="G81" i="6"/>
  <c r="F81" i="12"/>
  <c r="F73" i="12"/>
  <c r="G73" i="6"/>
  <c r="F81" i="6"/>
  <c r="E81" i="12"/>
  <c r="AC81" i="5"/>
  <c r="E73" i="12"/>
  <c r="F73" i="6"/>
  <c r="AC73" i="5"/>
  <c r="F79" i="12"/>
  <c r="G79" i="6"/>
  <c r="F79" i="6"/>
  <c r="E79" i="12"/>
  <c r="AC79" i="5"/>
  <c r="AF14" i="5" l="1"/>
  <c r="AF180" i="5"/>
  <c r="AF35" i="5"/>
  <c r="AF17" i="5"/>
  <c r="AF30" i="5"/>
  <c r="AF248" i="5"/>
  <c r="AF31" i="5"/>
  <c r="AF44" i="5"/>
  <c r="AF40" i="5"/>
  <c r="AF32" i="5"/>
  <c r="AF33" i="5"/>
  <c r="AF227" i="5"/>
  <c r="AF181" i="5"/>
  <c r="AF39" i="5"/>
  <c r="AF16" i="5"/>
  <c r="AF229" i="5"/>
  <c r="AF42" i="5"/>
  <c r="AF34" i="5"/>
  <c r="AF173" i="5"/>
  <c r="AF36" i="5"/>
  <c r="AF182" i="5"/>
  <c r="AF230" i="5"/>
  <c r="AF43" i="5"/>
  <c r="AF219" i="5"/>
  <c r="AF221" i="5"/>
  <c r="AF225" i="5"/>
  <c r="AF82" i="5"/>
  <c r="AF26" i="5"/>
  <c r="AF179" i="5"/>
  <c r="AF133" i="5"/>
  <c r="AF217" i="5"/>
  <c r="AF53" i="5"/>
  <c r="AF127" i="5"/>
  <c r="AF78" i="5"/>
  <c r="AF21" i="5"/>
  <c r="AF161" i="5"/>
  <c r="AF50" i="5"/>
  <c r="AF27" i="5"/>
  <c r="AF220" i="5"/>
  <c r="AF37" i="5"/>
  <c r="AF199" i="5"/>
  <c r="AF226" i="5"/>
  <c r="AF171" i="5"/>
  <c r="AF197" i="5"/>
  <c r="AF202" i="5"/>
  <c r="AF107" i="5"/>
  <c r="AF130" i="5"/>
  <c r="AF72" i="5"/>
  <c r="AF144" i="5"/>
  <c r="AF47" i="5"/>
  <c r="AF206" i="5"/>
  <c r="AF128" i="5"/>
  <c r="AF207" i="5"/>
  <c r="AF218" i="5"/>
  <c r="AF23" i="5"/>
  <c r="AF159" i="5"/>
  <c r="AF28" i="5"/>
  <c r="AF223" i="5"/>
  <c r="AF49" i="5"/>
  <c r="AF222" i="5"/>
  <c r="AF224" i="5"/>
  <c r="AF175" i="5"/>
  <c r="AF231" i="5"/>
  <c r="AF216" i="5"/>
  <c r="AF108" i="5"/>
  <c r="AF198" i="5"/>
  <c r="AF20" i="5"/>
  <c r="AF41" i="5"/>
  <c r="AF201" i="5"/>
  <c r="AF38" i="5"/>
  <c r="AF106" i="5"/>
  <c r="AF129" i="5"/>
  <c r="AF196" i="5"/>
  <c r="AF160" i="5"/>
  <c r="AF200" i="5"/>
  <c r="AF25" i="5"/>
  <c r="AF145" i="5"/>
  <c r="AF170" i="5"/>
  <c r="AF71" i="5"/>
  <c r="AF172" i="5"/>
  <c r="AF143" i="5"/>
  <c r="AF22" i="5"/>
  <c r="AF174" i="5"/>
  <c r="AF77" i="5"/>
  <c r="AF46" i="5"/>
  <c r="AF205" i="5"/>
  <c r="AF76" i="5"/>
  <c r="AF29" i="5"/>
  <c r="AF24" i="5"/>
  <c r="AF132" i="5"/>
  <c r="AF178" i="5"/>
  <c r="AF203" i="5"/>
  <c r="AF228" i="5"/>
  <c r="AF158" i="5"/>
  <c r="AF19" i="5"/>
  <c r="AF204" i="5"/>
  <c r="AF51" i="5"/>
  <c r="AF146" i="5"/>
  <c r="AF195" i="5"/>
  <c r="AF142" i="5"/>
  <c r="AF18" i="5"/>
  <c r="AG18" i="5" l="1"/>
  <c r="R18" i="5"/>
  <c r="S18" i="5"/>
  <c r="AG142" i="5"/>
  <c r="S142" i="5"/>
  <c r="R142" i="5"/>
  <c r="R195" i="5"/>
  <c r="S195" i="5"/>
  <c r="AG195" i="5"/>
  <c r="S146" i="5"/>
  <c r="R146" i="5"/>
  <c r="AG146" i="5"/>
  <c r="AG51" i="5"/>
  <c r="S51" i="5"/>
  <c r="R51" i="5"/>
  <c r="S204" i="5"/>
  <c r="R204" i="5"/>
  <c r="AG204" i="5"/>
  <c r="R19" i="5"/>
  <c r="AG19" i="5"/>
  <c r="S19" i="5"/>
  <c r="AG158" i="5"/>
  <c r="S158" i="5"/>
  <c r="R158" i="5"/>
  <c r="R228" i="5"/>
  <c r="S228" i="5"/>
  <c r="AG228" i="5"/>
  <c r="R203" i="5"/>
  <c r="S203" i="5"/>
  <c r="AG203" i="5"/>
  <c r="AG178" i="5"/>
  <c r="R178" i="5"/>
  <c r="S178" i="5"/>
  <c r="S132" i="5"/>
  <c r="AG132" i="5"/>
  <c r="R132" i="5"/>
  <c r="AG24" i="5"/>
  <c r="S24" i="5"/>
  <c r="R24" i="5"/>
  <c r="S29" i="5"/>
  <c r="AG29" i="5"/>
  <c r="R29" i="5"/>
  <c r="R76" i="5"/>
  <c r="AG76" i="5"/>
  <c r="S76" i="5"/>
  <c r="S205" i="5"/>
  <c r="R205" i="5"/>
  <c r="AG205" i="5"/>
  <c r="AG46" i="5"/>
  <c r="R46" i="5"/>
  <c r="S46" i="5"/>
  <c r="S77" i="5"/>
  <c r="AG77" i="5"/>
  <c r="R77" i="5"/>
  <c r="R174" i="5"/>
  <c r="AG174" i="5"/>
  <c r="S174" i="5"/>
  <c r="R22" i="5"/>
  <c r="AG22" i="5"/>
  <c r="S22" i="5"/>
  <c r="S143" i="5"/>
  <c r="R143" i="5"/>
  <c r="AG143" i="5"/>
  <c r="S172" i="5"/>
  <c r="AG172" i="5"/>
  <c r="R172" i="5"/>
  <c r="S71" i="5"/>
  <c r="R71" i="5"/>
  <c r="AG71" i="5"/>
  <c r="AG170" i="5"/>
  <c r="S170" i="5"/>
  <c r="R170" i="5"/>
  <c r="R145" i="5"/>
  <c r="AG145" i="5"/>
  <c r="S145" i="5"/>
  <c r="AG25" i="5"/>
  <c r="S25" i="5"/>
  <c r="R25" i="5"/>
  <c r="R200" i="5"/>
  <c r="AG200" i="5"/>
  <c r="S200" i="5"/>
  <c r="S160" i="5"/>
  <c r="R160" i="5"/>
  <c r="AG160" i="5"/>
  <c r="R196" i="5"/>
  <c r="AG196" i="5"/>
  <c r="S196" i="5"/>
  <c r="AG129" i="5"/>
  <c r="R129" i="5"/>
  <c r="S129" i="5"/>
  <c r="S106" i="5"/>
  <c r="AG106" i="5"/>
  <c r="R106" i="5"/>
  <c r="S38" i="5"/>
  <c r="AG38" i="5"/>
  <c r="R38" i="5"/>
  <c r="R201" i="5"/>
  <c r="AG201" i="5"/>
  <c r="S201" i="5"/>
  <c r="R41" i="5"/>
  <c r="AG41" i="5"/>
  <c r="S41" i="5"/>
  <c r="S20" i="5"/>
  <c r="R20" i="5"/>
  <c r="AG20" i="5"/>
  <c r="S198" i="5"/>
  <c r="R198" i="5"/>
  <c r="AG198" i="5"/>
  <c r="S108" i="5"/>
  <c r="AG108" i="5"/>
  <c r="R108" i="5"/>
  <c r="AG216" i="5"/>
  <c r="S216" i="5"/>
  <c r="R216" i="5"/>
  <c r="AG231" i="5"/>
  <c r="R231" i="5"/>
  <c r="S231" i="5"/>
  <c r="AG175" i="5"/>
  <c r="S175" i="5"/>
  <c r="R175" i="5"/>
  <c r="R224" i="5"/>
  <c r="S224" i="5"/>
  <c r="AG224" i="5"/>
  <c r="R222" i="5"/>
  <c r="S222" i="5"/>
  <c r="AG222" i="5"/>
  <c r="AG49" i="5"/>
  <c r="S49" i="5"/>
  <c r="R49" i="5"/>
  <c r="AG223" i="5"/>
  <c r="S223" i="5"/>
  <c r="R223" i="5"/>
  <c r="S28" i="5"/>
  <c r="AG28" i="5"/>
  <c r="R28" i="5"/>
  <c r="R159" i="5"/>
  <c r="S159" i="5"/>
  <c r="AG159" i="5"/>
  <c r="AG23" i="5"/>
  <c r="R23" i="5"/>
  <c r="S23" i="5"/>
  <c r="S218" i="5"/>
  <c r="AG218" i="5"/>
  <c r="R218" i="5"/>
  <c r="AG207" i="5"/>
  <c r="R207" i="5"/>
  <c r="S207" i="5"/>
  <c r="S128" i="5"/>
  <c r="R128" i="5"/>
  <c r="AG128" i="5"/>
  <c r="S206" i="5"/>
  <c r="AG206" i="5"/>
  <c r="R206" i="5"/>
  <c r="AG47" i="5"/>
  <c r="S47" i="5"/>
  <c r="R47" i="5"/>
  <c r="AG144" i="5"/>
  <c r="S144" i="5"/>
  <c r="R144" i="5"/>
  <c r="S72" i="5"/>
  <c r="AG72" i="5"/>
  <c r="R72" i="5"/>
  <c r="S130" i="5"/>
  <c r="R130" i="5"/>
  <c r="AG130" i="5"/>
  <c r="AG107" i="5"/>
  <c r="S107" i="5"/>
  <c r="R107" i="5"/>
  <c r="S202" i="5"/>
  <c r="AG202" i="5"/>
  <c r="R202" i="5"/>
  <c r="S197" i="5"/>
  <c r="AG197" i="5"/>
  <c r="R197" i="5"/>
  <c r="AG171" i="5"/>
  <c r="S171" i="5"/>
  <c r="R171" i="5"/>
  <c r="AG226" i="5"/>
  <c r="R226" i="5"/>
  <c r="S226" i="5"/>
  <c r="R199" i="5"/>
  <c r="S199" i="5"/>
  <c r="AG199" i="5"/>
  <c r="AG37" i="5"/>
  <c r="S37" i="5"/>
  <c r="R37" i="5"/>
  <c r="AG220" i="5"/>
  <c r="S220" i="5"/>
  <c r="R220" i="5"/>
  <c r="S27" i="5"/>
  <c r="AG27" i="5"/>
  <c r="R27" i="5"/>
  <c r="R50" i="5"/>
  <c r="AG50" i="5"/>
  <c r="S50" i="5"/>
  <c r="AG161" i="5"/>
  <c r="S161" i="5"/>
  <c r="R161" i="5"/>
  <c r="S21" i="5"/>
  <c r="R21" i="5"/>
  <c r="AG21" i="5"/>
  <c r="S78" i="5"/>
  <c r="R78" i="5"/>
  <c r="AG78" i="5"/>
  <c r="S127" i="5"/>
  <c r="AG127" i="5"/>
  <c r="R127" i="5"/>
  <c r="R53" i="5"/>
  <c r="AG53" i="5"/>
  <c r="S53" i="5"/>
  <c r="AG217" i="5"/>
  <c r="R217" i="5"/>
  <c r="S217" i="5"/>
  <c r="AG133" i="5"/>
  <c r="S133" i="5"/>
  <c r="R133" i="5"/>
  <c r="S179" i="5"/>
  <c r="R179" i="5"/>
  <c r="AG179" i="5"/>
  <c r="S26" i="5"/>
  <c r="AG26" i="5"/>
  <c r="R26" i="5"/>
  <c r="AG82" i="5"/>
  <c r="R82" i="5"/>
  <c r="S82" i="5"/>
  <c r="R225" i="5"/>
  <c r="AG225" i="5"/>
  <c r="S225" i="5"/>
  <c r="R221" i="5"/>
  <c r="S221" i="5"/>
  <c r="AG221" i="5"/>
  <c r="R219" i="5"/>
  <c r="S219" i="5"/>
  <c r="AG219" i="5"/>
  <c r="R43" i="5"/>
  <c r="S43" i="5"/>
  <c r="AG43" i="5"/>
  <c r="S230" i="5"/>
  <c r="AG230" i="5"/>
  <c r="R230" i="5"/>
  <c r="R182" i="5"/>
  <c r="S182" i="5"/>
  <c r="AG182" i="5"/>
  <c r="S36" i="5"/>
  <c r="R36" i="5"/>
  <c r="AG36" i="5"/>
  <c r="R173" i="5"/>
  <c r="S173" i="5"/>
  <c r="AG173" i="5"/>
  <c r="S34" i="5"/>
  <c r="R34" i="5"/>
  <c r="AG34" i="5"/>
  <c r="AG42" i="5"/>
  <c r="S42" i="5"/>
  <c r="R42" i="5"/>
  <c r="R229" i="5"/>
  <c r="S229" i="5"/>
  <c r="AG229" i="5"/>
  <c r="S16" i="5"/>
  <c r="AG16" i="5"/>
  <c r="AG39" i="5"/>
  <c r="S39" i="5"/>
  <c r="R39" i="5"/>
  <c r="R181" i="5"/>
  <c r="S181" i="5"/>
  <c r="AG181" i="5"/>
  <c r="S227" i="5"/>
  <c r="R227" i="5"/>
  <c r="AG227" i="5"/>
  <c r="R33" i="5"/>
  <c r="S33" i="5"/>
  <c r="AG33" i="5"/>
  <c r="S32" i="5"/>
  <c r="AG32" i="5"/>
  <c r="R32" i="5"/>
  <c r="S40" i="5"/>
  <c r="AG40" i="5"/>
  <c r="R40" i="5"/>
  <c r="S44" i="5"/>
  <c r="AG44" i="5"/>
  <c r="R44" i="5"/>
  <c r="AG31" i="5"/>
  <c r="R31" i="5"/>
  <c r="S31" i="5"/>
  <c r="R248" i="5"/>
  <c r="AG248" i="5"/>
  <c r="AG30" i="5"/>
  <c r="R30" i="5"/>
  <c r="S30" i="5"/>
  <c r="S17" i="5"/>
  <c r="AG17" i="5"/>
  <c r="R35" i="5"/>
  <c r="S35" i="5"/>
  <c r="AG35" i="5"/>
  <c r="S180" i="5"/>
  <c r="R180" i="5"/>
  <c r="AG180" i="5"/>
  <c r="AG14" i="5"/>
  <c r="S14" i="5"/>
  <c r="R14" i="5"/>
  <c r="E34" i="12" l="1"/>
  <c r="AC34" i="5"/>
  <c r="F34" i="6"/>
  <c r="F47" i="12"/>
  <c r="G47" i="6"/>
  <c r="F158" i="12"/>
  <c r="G158" i="6"/>
  <c r="F17" i="12"/>
  <c r="AC17" i="5"/>
  <c r="AC14" i="5"/>
  <c r="E14" i="12"/>
  <c r="F14" i="6"/>
  <c r="F30" i="6"/>
  <c r="AC30" i="5"/>
  <c r="E30" i="12"/>
  <c r="F40" i="12"/>
  <c r="G40" i="6"/>
  <c r="F181" i="6"/>
  <c r="E181" i="12"/>
  <c r="AC181" i="5"/>
  <c r="AC230" i="5"/>
  <c r="E230" i="12"/>
  <c r="F230" i="6"/>
  <c r="F225" i="12"/>
  <c r="G225" i="6"/>
  <c r="F133" i="6"/>
  <c r="AC133" i="5"/>
  <c r="E133" i="12"/>
  <c r="F27" i="6"/>
  <c r="E27" i="12"/>
  <c r="AC27" i="5"/>
  <c r="G226" i="6"/>
  <c r="F226" i="12"/>
  <c r="E107" i="12"/>
  <c r="AC107" i="5"/>
  <c r="F107" i="6"/>
  <c r="E47" i="12"/>
  <c r="AC47" i="5"/>
  <c r="F47" i="6"/>
  <c r="E218" i="12"/>
  <c r="F218" i="6"/>
  <c r="AC218" i="5"/>
  <c r="E223" i="12"/>
  <c r="AC223" i="5"/>
  <c r="F223" i="6"/>
  <c r="AC175" i="5"/>
  <c r="E175" i="12"/>
  <c r="F175" i="6"/>
  <c r="AC38" i="5"/>
  <c r="E38" i="12"/>
  <c r="F38" i="6"/>
  <c r="AC170" i="5"/>
  <c r="F170" i="6"/>
  <c r="E170" i="12"/>
  <c r="G22" i="6"/>
  <c r="F22" i="12"/>
  <c r="AC132" i="5"/>
  <c r="F132" i="6"/>
  <c r="E132" i="12"/>
  <c r="F158" i="6"/>
  <c r="AC158" i="5"/>
  <c r="E158" i="12"/>
  <c r="F160" i="6"/>
  <c r="E160" i="12"/>
  <c r="AC160" i="5"/>
  <c r="F39" i="12"/>
  <c r="G39" i="6"/>
  <c r="F34" i="12"/>
  <c r="G34" i="6"/>
  <c r="F230" i="12"/>
  <c r="G230" i="6"/>
  <c r="F225" i="6"/>
  <c r="E225" i="12"/>
  <c r="AC225" i="5"/>
  <c r="G78" i="6"/>
  <c r="F78" i="12"/>
  <c r="G27" i="6"/>
  <c r="F27" i="12"/>
  <c r="F218" i="12"/>
  <c r="G218" i="6"/>
  <c r="F198" i="12"/>
  <c r="G198" i="6"/>
  <c r="F38" i="12"/>
  <c r="G38" i="6"/>
  <c r="G160" i="6"/>
  <c r="F160" i="12"/>
  <c r="AC22" i="5"/>
  <c r="F22" i="6"/>
  <c r="E22" i="12"/>
  <c r="F205" i="12"/>
  <c r="G205" i="6"/>
  <c r="F132" i="12"/>
  <c r="G132" i="6"/>
  <c r="F146" i="12"/>
  <c r="G146" i="6"/>
  <c r="AC39" i="5"/>
  <c r="F39" i="6"/>
  <c r="E39" i="12"/>
  <c r="E248" i="12"/>
  <c r="F248" i="6"/>
  <c r="AC248" i="5"/>
  <c r="G32" i="6"/>
  <c r="F32" i="12"/>
  <c r="G82" i="6"/>
  <c r="F82" i="12"/>
  <c r="F217" i="12"/>
  <c r="G217" i="6"/>
  <c r="E220" i="12"/>
  <c r="F220" i="6"/>
  <c r="AC220" i="5"/>
  <c r="F171" i="6"/>
  <c r="E171" i="12"/>
  <c r="AC171" i="5"/>
  <c r="F206" i="6"/>
  <c r="E206" i="12"/>
  <c r="AC206" i="5"/>
  <c r="F23" i="12"/>
  <c r="G23" i="6"/>
  <c r="AC49" i="5"/>
  <c r="F49" i="6"/>
  <c r="E49" i="12"/>
  <c r="F231" i="12"/>
  <c r="G231" i="6"/>
  <c r="F106" i="6"/>
  <c r="E106" i="12"/>
  <c r="AC106" i="5"/>
  <c r="F200" i="12"/>
  <c r="G200" i="6"/>
  <c r="G174" i="6"/>
  <c r="F174" i="12"/>
  <c r="G76" i="6"/>
  <c r="F76" i="12"/>
  <c r="G178" i="6"/>
  <c r="F178" i="12"/>
  <c r="F19" i="12"/>
  <c r="G19" i="6"/>
  <c r="F226" i="6"/>
  <c r="E226" i="12"/>
  <c r="AC226" i="5"/>
  <c r="G223" i="6"/>
  <c r="F223" i="12"/>
  <c r="F170" i="12"/>
  <c r="G170" i="6"/>
  <c r="E180" i="12"/>
  <c r="F180" i="6"/>
  <c r="AC180" i="5"/>
  <c r="G173" i="6"/>
  <c r="F173" i="12"/>
  <c r="G43" i="6"/>
  <c r="F43" i="12"/>
  <c r="E82" i="12"/>
  <c r="AC82" i="5"/>
  <c r="F82" i="6"/>
  <c r="F217" i="6"/>
  <c r="AC217" i="5"/>
  <c r="E217" i="12"/>
  <c r="F21" i="6"/>
  <c r="AC21" i="5"/>
  <c r="E21" i="12"/>
  <c r="F220" i="12"/>
  <c r="G220" i="6"/>
  <c r="G171" i="6"/>
  <c r="F171" i="12"/>
  <c r="AC130" i="5"/>
  <c r="E130" i="12"/>
  <c r="F130" i="6"/>
  <c r="F23" i="6"/>
  <c r="E23" i="12"/>
  <c r="AC23" i="5"/>
  <c r="F49" i="12"/>
  <c r="G49" i="6"/>
  <c r="E231" i="12"/>
  <c r="F231" i="6"/>
  <c r="AC231" i="5"/>
  <c r="E20" i="12"/>
  <c r="F20" i="6"/>
  <c r="AC20" i="5"/>
  <c r="E71" i="12"/>
  <c r="F71" i="6"/>
  <c r="AC71" i="5"/>
  <c r="E178" i="12"/>
  <c r="F178" i="6"/>
  <c r="AC178" i="5"/>
  <c r="F195" i="12"/>
  <c r="G195" i="6"/>
  <c r="F198" i="6"/>
  <c r="AC198" i="5"/>
  <c r="E198" i="12"/>
  <c r="F16" i="12"/>
  <c r="AC16" i="5"/>
  <c r="E173" i="12"/>
  <c r="F173" i="6"/>
  <c r="AC173" i="5"/>
  <c r="AC43" i="5"/>
  <c r="E43" i="12"/>
  <c r="F43" i="6"/>
  <c r="F21" i="12"/>
  <c r="G21" i="6"/>
  <c r="G130" i="6"/>
  <c r="F130" i="12"/>
  <c r="G206" i="6"/>
  <c r="F206" i="12"/>
  <c r="G20" i="6"/>
  <c r="F20" i="12"/>
  <c r="F106" i="12"/>
  <c r="G106" i="6"/>
  <c r="E200" i="12"/>
  <c r="AC200" i="5"/>
  <c r="F200" i="6"/>
  <c r="G71" i="6"/>
  <c r="F71" i="12"/>
  <c r="E174" i="12"/>
  <c r="F174" i="6"/>
  <c r="AC174" i="5"/>
  <c r="E76" i="12"/>
  <c r="F76" i="6"/>
  <c r="AC76" i="5"/>
  <c r="F19" i="6"/>
  <c r="AC19" i="5"/>
  <c r="E19" i="12"/>
  <c r="F195" i="6"/>
  <c r="E195" i="12"/>
  <c r="AC195" i="5"/>
  <c r="G53" i="6"/>
  <c r="F53" i="12"/>
  <c r="F161" i="6"/>
  <c r="AC161" i="5"/>
  <c r="E161" i="12"/>
  <c r="F37" i="6"/>
  <c r="E37" i="12"/>
  <c r="AC37" i="5"/>
  <c r="E197" i="12"/>
  <c r="AC197" i="5"/>
  <c r="F197" i="6"/>
  <c r="AC72" i="5"/>
  <c r="F72" i="6"/>
  <c r="E72" i="12"/>
  <c r="AC216" i="5"/>
  <c r="E216" i="12"/>
  <c r="F216" i="6"/>
  <c r="F41" i="12"/>
  <c r="G41" i="6"/>
  <c r="G129" i="6"/>
  <c r="F129" i="12"/>
  <c r="E25" i="12"/>
  <c r="F25" i="6"/>
  <c r="AC25" i="5"/>
  <c r="AC172" i="5"/>
  <c r="E172" i="12"/>
  <c r="F172" i="6"/>
  <c r="AC77" i="5"/>
  <c r="E77" i="12"/>
  <c r="F77" i="6"/>
  <c r="AC29" i="5"/>
  <c r="E29" i="12"/>
  <c r="F29" i="6"/>
  <c r="E142" i="12"/>
  <c r="F142" i="6"/>
  <c r="AC142" i="5"/>
  <c r="F180" i="12"/>
  <c r="G180" i="6"/>
  <c r="E26" i="12"/>
  <c r="F26" i="6"/>
  <c r="AC26" i="5"/>
  <c r="G35" i="6"/>
  <c r="F35" i="12"/>
  <c r="E44" i="12"/>
  <c r="F44" i="6"/>
  <c r="AC44" i="5"/>
  <c r="G229" i="6"/>
  <c r="F229" i="12"/>
  <c r="F36" i="6"/>
  <c r="AC36" i="5"/>
  <c r="E36" i="12"/>
  <c r="F219" i="12"/>
  <c r="G219" i="6"/>
  <c r="F161" i="12"/>
  <c r="G161" i="6"/>
  <c r="G37" i="6"/>
  <c r="F37" i="12"/>
  <c r="AC128" i="5"/>
  <c r="E128" i="12"/>
  <c r="F128" i="6"/>
  <c r="G159" i="6"/>
  <c r="F159" i="12"/>
  <c r="F222" i="12"/>
  <c r="G222" i="6"/>
  <c r="F216" i="12"/>
  <c r="G216" i="6"/>
  <c r="F129" i="6"/>
  <c r="E129" i="12"/>
  <c r="AC129" i="5"/>
  <c r="F25" i="12"/>
  <c r="G25" i="6"/>
  <c r="G203" i="6"/>
  <c r="F203" i="12"/>
  <c r="E204" i="12"/>
  <c r="F204" i="6"/>
  <c r="AC204" i="5"/>
  <c r="F142" i="12"/>
  <c r="G142" i="6"/>
  <c r="AC78" i="5"/>
  <c r="E78" i="12"/>
  <c r="F78" i="6"/>
  <c r="F35" i="6"/>
  <c r="E35" i="12"/>
  <c r="AC35" i="5"/>
  <c r="F227" i="6"/>
  <c r="E227" i="12"/>
  <c r="AC227" i="5"/>
  <c r="F229" i="6"/>
  <c r="E229" i="12"/>
  <c r="AC229" i="5"/>
  <c r="G36" i="6"/>
  <c r="F36" i="12"/>
  <c r="F219" i="6"/>
  <c r="E219" i="12"/>
  <c r="AC219" i="5"/>
  <c r="F26" i="12"/>
  <c r="G26" i="6"/>
  <c r="E53" i="12"/>
  <c r="AC53" i="5"/>
  <c r="F53" i="6"/>
  <c r="F197" i="12"/>
  <c r="G197" i="6"/>
  <c r="F72" i="12"/>
  <c r="G72" i="6"/>
  <c r="G128" i="6"/>
  <c r="F128" i="12"/>
  <c r="F159" i="6"/>
  <c r="AC159" i="5"/>
  <c r="E159" i="12"/>
  <c r="E222" i="12"/>
  <c r="AC222" i="5"/>
  <c r="F222" i="6"/>
  <c r="E41" i="12"/>
  <c r="AC41" i="5"/>
  <c r="F41" i="6"/>
  <c r="F172" i="12"/>
  <c r="G172" i="6"/>
  <c r="G77" i="6"/>
  <c r="F77" i="12"/>
  <c r="F29" i="12"/>
  <c r="G29" i="6"/>
  <c r="E203" i="12"/>
  <c r="F203" i="6"/>
  <c r="AC203" i="5"/>
  <c r="G204" i="6"/>
  <c r="F204" i="12"/>
  <c r="G133" i="6"/>
  <c r="F133" i="12"/>
  <c r="E146" i="12"/>
  <c r="F146" i="6"/>
  <c r="AC146" i="5"/>
  <c r="E31" i="12"/>
  <c r="F31" i="6"/>
  <c r="AC31" i="5"/>
  <c r="AC33" i="5"/>
  <c r="E33" i="12"/>
  <c r="F33" i="6"/>
  <c r="G44" i="6"/>
  <c r="F44" i="12"/>
  <c r="G227" i="6"/>
  <c r="F227" i="12"/>
  <c r="E42" i="12"/>
  <c r="AC42" i="5"/>
  <c r="F42" i="6"/>
  <c r="E127" i="12"/>
  <c r="F127" i="6"/>
  <c r="AC127" i="5"/>
  <c r="F50" i="12"/>
  <c r="G50" i="6"/>
  <c r="F202" i="6"/>
  <c r="AC202" i="5"/>
  <c r="E202" i="12"/>
  <c r="F144" i="6"/>
  <c r="E144" i="12"/>
  <c r="AC144" i="5"/>
  <c r="F207" i="12"/>
  <c r="G207" i="6"/>
  <c r="AC28" i="5"/>
  <c r="F28" i="6"/>
  <c r="E28" i="12"/>
  <c r="AC108" i="5"/>
  <c r="E108" i="12"/>
  <c r="F108" i="6"/>
  <c r="G201" i="6"/>
  <c r="F201" i="12"/>
  <c r="G196" i="6"/>
  <c r="F196" i="12"/>
  <c r="F145" i="12"/>
  <c r="G145" i="6"/>
  <c r="G46" i="6"/>
  <c r="F46" i="12"/>
  <c r="AC24" i="5"/>
  <c r="E24" i="12"/>
  <c r="F24" i="6"/>
  <c r="E51" i="12"/>
  <c r="F51" i="6"/>
  <c r="AC51" i="5"/>
  <c r="F18" i="12"/>
  <c r="G18" i="6"/>
  <c r="F32" i="6"/>
  <c r="AC32" i="5"/>
  <c r="E32" i="12"/>
  <c r="F107" i="12"/>
  <c r="G107" i="6"/>
  <c r="E205" i="12"/>
  <c r="F205" i="6"/>
  <c r="AC205" i="5"/>
  <c r="F31" i="12"/>
  <c r="G31" i="6"/>
  <c r="F33" i="12"/>
  <c r="G33" i="6"/>
  <c r="F40" i="6"/>
  <c r="AC40" i="5"/>
  <c r="E40" i="12"/>
  <c r="G42" i="6"/>
  <c r="F42" i="12"/>
  <c r="F182" i="12"/>
  <c r="G182" i="6"/>
  <c r="F221" i="12"/>
  <c r="G221" i="6"/>
  <c r="AC179" i="5"/>
  <c r="F179" i="6"/>
  <c r="E179" i="12"/>
  <c r="G199" i="6"/>
  <c r="F199" i="12"/>
  <c r="G144" i="6"/>
  <c r="F144" i="12"/>
  <c r="F207" i="6"/>
  <c r="AC207" i="5"/>
  <c r="E207" i="12"/>
  <c r="G224" i="6"/>
  <c r="F224" i="12"/>
  <c r="F143" i="6"/>
  <c r="AC143" i="5"/>
  <c r="E143" i="12"/>
  <c r="E46" i="12"/>
  <c r="F46" i="6"/>
  <c r="AC46" i="5"/>
  <c r="F24" i="12"/>
  <c r="G24" i="6"/>
  <c r="F228" i="12"/>
  <c r="G228" i="6"/>
  <c r="F51" i="12"/>
  <c r="G51" i="6"/>
  <c r="E18" i="12"/>
  <c r="F18" i="6"/>
  <c r="AC18" i="5"/>
  <c r="G14" i="6"/>
  <c r="F14" i="12"/>
  <c r="G175" i="6"/>
  <c r="F175" i="12"/>
  <c r="G30" i="6"/>
  <c r="F30" i="12"/>
  <c r="F181" i="12"/>
  <c r="G181" i="6"/>
  <c r="F182" i="6"/>
  <c r="E182" i="12"/>
  <c r="AC182" i="5"/>
  <c r="E221" i="12"/>
  <c r="F221" i="6"/>
  <c r="AC221" i="5"/>
  <c r="G179" i="6"/>
  <c r="F179" i="12"/>
  <c r="F127" i="12"/>
  <c r="G127" i="6"/>
  <c r="F50" i="6"/>
  <c r="AC50" i="5"/>
  <c r="E50" i="12"/>
  <c r="E199" i="12"/>
  <c r="F199" i="6"/>
  <c r="AC199" i="5"/>
  <c r="G202" i="6"/>
  <c r="F202" i="12"/>
  <c r="F28" i="12"/>
  <c r="G28" i="6"/>
  <c r="E224" i="12"/>
  <c r="F224" i="6"/>
  <c r="AC224" i="5"/>
  <c r="G108" i="6"/>
  <c r="F108" i="12"/>
  <c r="AC201" i="5"/>
  <c r="E201" i="12"/>
  <c r="F201" i="6"/>
  <c r="AC196" i="5"/>
  <c r="F196" i="6"/>
  <c r="E196" i="12"/>
  <c r="E145" i="12"/>
  <c r="AC145" i="5"/>
  <c r="F145" i="6"/>
  <c r="G143" i="6"/>
  <c r="F143" i="12"/>
  <c r="E228" i="12"/>
  <c r="AC228" i="5"/>
  <c r="F228" i="6"/>
  <c r="AC11" i="5" l="1"/>
</calcChain>
</file>

<file path=xl/sharedStrings.xml><?xml version="1.0" encoding="utf-8"?>
<sst xmlns="http://schemas.openxmlformats.org/spreadsheetml/2006/main" count="2430" uniqueCount="549">
  <si>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</si>
  <si>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</si>
  <si>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</si>
  <si>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</si>
  <si>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</si>
  <si>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</si>
  <si>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</si>
  <si>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</si>
  <si>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</si>
  <si>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</si>
  <si>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</si>
  <si>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</si>
  <si>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</si>
  <si>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</si>
  <si>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</si>
  <si>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</si>
  <si>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</si>
  <si>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</si>
  <si>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</si>
  <si>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</si>
  <si>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</si>
  <si>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</si>
  <si>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</si>
  <si>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</si>
  <si>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</si>
  <si>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</si>
  <si>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</si>
  <si>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</si>
  <si>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</si>
  <si>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</si>
  <si>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</si>
  <si>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</si>
  <si>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</si>
  <si>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</si>
  <si>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</si>
  <si>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</si>
  <si>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</si>
  <si>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</si>
  <si>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</si>
  <si>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</si>
  <si>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</si>
  <si>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</si>
  <si>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</si>
  <si>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</si>
  <si>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</si>
  <si>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</si>
  <si>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</si>
  <si>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</si>
  <si>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</si>
  <si>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</si>
  <si>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</si>
  <si>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</si>
  <si>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</si>
  <si>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</si>
  <si>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</si>
  <si>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</si>
  <si>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</si>
  <si>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</si>
  <si>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</si>
  <si>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</si>
  <si>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</si>
  <si>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</si>
  <si>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</si>
  <si>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</si>
  <si>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</si>
  <si>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</si>
  <si>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</si>
  <si>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</si>
  <si>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</si>
  <si>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</si>
  <si>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</si>
  <si>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</si>
  <si>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</si>
  <si>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</si>
  <si>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</si>
  <si>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</si>
  <si>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</si>
  <si>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</si>
  <si>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</si>
  <si>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</si>
  <si>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</si>
  <si>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</si>
  <si>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</si>
  <si>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</si>
  <si>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</si>
  <si>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</si>
  <si>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</si>
  <si>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</si>
  <si>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</si>
  <si>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</si>
  <si>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</si>
  <si>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</si>
  <si>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</si>
  <si>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</si>
  <si>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</si>
  <si>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</si>
  <si>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</si>
  <si>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</si>
  <si>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</si>
  <si>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</si>
  <si>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</si>
  <si>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</si>
  <si>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</si>
  <si>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</si>
  <si>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</si>
  <si>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</si>
  <si>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</si>
  <si>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</si>
  <si>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</si>
  <si>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</si>
  <si>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</si>
  <si>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</si>
  <si>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</si>
  <si>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</si>
  <si>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</si>
  <si>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</si>
  <si>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</si>
  <si>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</si>
  <si>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</si>
  <si>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</si>
  <si>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</si>
  <si>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</si>
  <si>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</si>
  <si>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</si>
  <si>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</si>
  <si>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</si>
  <si>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</si>
  <si>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</si>
  <si>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</si>
  <si>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</si>
  <si>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</si>
  <si>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</si>
  <si>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</si>
  <si>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</si>
  <si>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</si>
  <si>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</si>
  <si>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</si>
  <si>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</si>
  <si>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</si>
  <si>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</si>
  <si>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</si>
  <si>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</si>
  <si>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</si>
  <si>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</si>
  <si>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</si>
  <si>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</si>
  <si>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</si>
  <si>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</si>
  <si>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</si>
  <si>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</si>
  <si>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</si>
  <si>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</si>
  <si>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</si>
  <si>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</si>
  <si>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</si>
  <si>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</si>
  <si>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</si>
  <si>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</si>
  <si>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</si>
  <si>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</si>
  <si>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</si>
  <si>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</si>
  <si>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</si>
  <si>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</si>
  <si>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</si>
  <si>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</si>
  <si>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</si>
  <si>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</si>
  <si>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</si>
  <si>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</si>
  <si>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</si>
  <si>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</si>
  <si>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</si>
  <si>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</si>
  <si>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</si>
  <si>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</si>
  <si>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</si>
  <si>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</si>
  <si>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</si>
  <si>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</si>
  <si>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</si>
  <si>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</si>
  <si>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</si>
  <si>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</si>
  <si>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</si>
  <si>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</si>
  <si>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</si>
  <si>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</si>
  <si>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</si>
  <si>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</si>
  <si>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</si>
  <si>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</si>
  <si>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</si>
  <si>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</si>
  <si>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</si>
  <si>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</si>
  <si>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</si>
  <si>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</si>
  <si>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</si>
  <si>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</si>
  <si>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</si>
  <si>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</si>
  <si>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</si>
  <si>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</si>
  <si>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</si>
  <si>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</si>
  <si>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</si>
  <si>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</si>
  <si>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</si>
  <si>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</si>
  <si>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</si>
  <si>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</si>
  <si>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</si>
  <si>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</si>
  <si>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</si>
  <si>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</si>
  <si>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</si>
  <si>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</si>
  <si>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</si>
  <si>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</si>
  <si>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</si>
  <si>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</si>
  <si>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</si>
  <si>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</si>
  <si>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</si>
  <si>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</si>
  <si>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</si>
  <si>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</si>
  <si>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</si>
  <si>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</si>
  <si>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</si>
  <si>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</si>
  <si>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</si>
  <si>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</si>
  <si>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</si>
  <si>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</si>
  <si>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</si>
  <si>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</si>
  <si>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</si>
  <si>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</si>
  <si>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</si>
  <si>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</si>
  <si>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</si>
  <si>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</si>
  <si>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</si>
  <si>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</si>
  <si>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</si>
  <si>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</si>
  <si>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</si>
  <si>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</si>
  <si>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</si>
  <si>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</si>
  <si>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</si>
  <si>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</si>
  <si>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</si>
  <si>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</si>
  <si>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</si>
  <si>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</si>
  <si>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</si>
  <si>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</si>
  <si>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</si>
  <si>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</si>
  <si>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</si>
  <si>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</si>
  <si>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</si>
  <si>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</si>
  <si>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</si>
  <si>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</si>
  <si>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</si>
  <si>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</si>
  <si>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</si>
  <si>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</si>
  <si>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</si>
  <si>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</si>
  <si>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</si>
  <si>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</si>
  <si>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</si>
  <si>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</si>
  <si>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</si>
  <si>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</si>
  <si>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</si>
  <si>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</si>
  <si>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</si>
  <si>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</si>
  <si>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</si>
  <si>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</si>
  <si>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</si>
  <si>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</si>
  <si>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</si>
  <si>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</si>
  <si>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</si>
  <si>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</si>
  <si>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</si>
  <si>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</si>
  <si>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</si>
  <si>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</si>
  <si>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</si>
  <si>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</si>
  <si>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</si>
  <si>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</si>
  <si>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</si>
  <si>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</si>
  <si>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</si>
  <si>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</si>
  <si>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</si>
  <si>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</si>
  <si>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</si>
  <si>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</si>
  <si>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</si>
  <si>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</si>
  <si>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</si>
  <si>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</si>
  <si>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</si>
  <si>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</si>
  <si>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</si>
  <si>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</si>
  <si>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</si>
  <si>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</si>
  <si>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</si>
  <si>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</si>
  <si>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</si>
  <si>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</si>
  <si>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</si>
  <si>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</si>
  <si>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</si>
  <si>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</si>
  <si>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</si>
  <si>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</si>
  <si>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</si>
  <si>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</si>
  <si>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</si>
  <si>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</si>
  <si>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</si>
  <si>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</si>
  <si>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</si>
  <si>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</si>
  <si>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</si>
  <si>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</si>
  <si>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</si>
  <si>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</si>
  <si>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</si>
  <si>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</si>
  <si>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</si>
  <si>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</si>
  <si>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</si>
  <si>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</si>
  <si>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</si>
  <si>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</si>
  <si>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</si>
  <si>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</si>
  <si>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</si>
  <si>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</si>
  <si>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</si>
  <si>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</si>
  <si>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</si>
  <si>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</si>
  <si>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</si>
  <si>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</si>
  <si>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</si>
  <si>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</si>
  <si>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</si>
  <si>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</si>
  <si>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</si>
  <si>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</si>
  <si>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</si>
  <si>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</si>
  <si>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</si>
  <si>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</si>
  <si>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</si>
  <si>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</si>
  <si>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</si>
  <si>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</si>
  <si>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</si>
  <si>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</si>
  <si>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</si>
  <si>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</si>
  <si>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</si>
  <si>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</si>
  <si>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</si>
  <si>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</si>
  <si>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</si>
  <si>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</si>
  <si>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</si>
  <si>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</si>
  <si>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</si>
  <si>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</si>
  <si>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</si>
  <si>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</si>
  <si>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</si>
  <si>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</si>
  <si>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</si>
  <si>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</si>
  <si>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</si>
  <si>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</si>
  <si>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</si>
  <si>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</si>
  <si>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</si>
  <si>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</si>
  <si>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</si>
  <si>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</si>
  <si>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</si>
  <si>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</si>
  <si>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</si>
  <si>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</si>
  <si>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</si>
  <si>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</si>
  <si>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</si>
  <si>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</si>
  <si>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</si>
  <si>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</si>
  <si>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</si>
  <si>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</si>
  <si>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</si>
  <si>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</si>
  <si>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</si>
  <si>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</si>
  <si>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</si>
  <si>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</si>
  <si>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</si>
  <si>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</si>
  <si>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</si>
  <si>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</si>
  <si>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</si>
  <si>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</si>
  <si>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</si>
  <si>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</si>
  <si>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</si>
  <si>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</si>
  <si>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</si>
  <si>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</si>
  <si>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</si>
  <si>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</si>
  <si>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</si>
  <si>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</si>
  <si>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</si>
  <si>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</si>
  <si>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</si>
  <si>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</si>
  <si>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</si>
  <si>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</si>
  <si>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</si>
  <si>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</si>
  <si>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</si>
  <si>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CEU AZUL - PR</t>
  </si>
  <si>
    <t>LAURINDO SPEROTTO</t>
  </si>
  <si>
    <t>PREFEITO</t>
  </si>
  <si>
    <t>4813</t>
  </si>
  <si>
    <t>NÃO DESONERADO</t>
  </si>
  <si>
    <t>GIAN CARLOS BORTOLINI VALLI</t>
  </si>
  <si>
    <t>PR-163755/D</t>
  </si>
  <si>
    <t>SINAPI-I</t>
  </si>
  <si>
    <t>97622</t>
  </si>
  <si>
    <t>97647</t>
  </si>
  <si>
    <t>97645</t>
  </si>
  <si>
    <t>97644</t>
  </si>
  <si>
    <t>97650</t>
  </si>
  <si>
    <t>97663</t>
  </si>
  <si>
    <t>97661</t>
  </si>
  <si>
    <t>97662</t>
  </si>
  <si>
    <t>97640</t>
  </si>
  <si>
    <t>REFORMA DO CENTRO COMUNITÁRIO DE NOVA UNIÃO</t>
  </si>
  <si>
    <t>INFRAESTRUTURA</t>
  </si>
  <si>
    <t>103330</t>
  </si>
  <si>
    <t>PISO</t>
  </si>
  <si>
    <t>87257</t>
  </si>
  <si>
    <t>87879</t>
  </si>
  <si>
    <t>87529</t>
  </si>
  <si>
    <t>96622</t>
  </si>
  <si>
    <t>95241</t>
  </si>
  <si>
    <t>104162</t>
  </si>
  <si>
    <t>PINTURA E REVESTIMENTO</t>
  </si>
  <si>
    <t>104611</t>
  </si>
  <si>
    <t>104642</t>
  </si>
  <si>
    <t>95305</t>
  </si>
  <si>
    <t>COBERTURA</t>
  </si>
  <si>
    <t>92616</t>
  </si>
  <si>
    <t>94207</t>
  </si>
  <si>
    <t>92580</t>
  </si>
  <si>
    <t>96486</t>
  </si>
  <si>
    <t>94573</t>
  </si>
  <si>
    <t>91338</t>
  </si>
  <si>
    <t>Composição</t>
  </si>
  <si>
    <t>01</t>
  </si>
  <si>
    <t>SERVIÇOS HIDRAULICO</t>
  </si>
  <si>
    <t>86932</t>
  </si>
  <si>
    <t>86903</t>
  </si>
  <si>
    <t>95240</t>
  </si>
  <si>
    <t>91785</t>
  </si>
  <si>
    <t>02</t>
  </si>
  <si>
    <t>86915</t>
  </si>
  <si>
    <t>INSTALAÇÕES SANITÁRIAS</t>
  </si>
  <si>
    <t>98064</t>
  </si>
  <si>
    <t>98053</t>
  </si>
  <si>
    <t>98059</t>
  </si>
  <si>
    <t>91788</t>
  </si>
  <si>
    <t>103001</t>
  </si>
  <si>
    <t xml:space="preserve">SERVIÇOS ELETRICOS </t>
  </si>
  <si>
    <t>95728</t>
  </si>
  <si>
    <t>03</t>
  </si>
  <si>
    <t>91955</t>
  </si>
  <si>
    <t>04</t>
  </si>
  <si>
    <t>91840</t>
  </si>
  <si>
    <t>91926</t>
  </si>
  <si>
    <t>91930</t>
  </si>
  <si>
    <t>91928</t>
  </si>
  <si>
    <t>05</t>
  </si>
  <si>
    <t>103782</t>
  </si>
  <si>
    <t>98107</t>
  </si>
  <si>
    <t>97905</t>
  </si>
  <si>
    <t>91795</t>
  </si>
  <si>
    <t>91793</t>
  </si>
  <si>
    <t>ESQUADRIAS/BANCADA</t>
  </si>
  <si>
    <t>06</t>
  </si>
  <si>
    <t>SERVIÇOS PRELIMINARES</t>
  </si>
  <si>
    <t>ALVENARIA/ PAREDES</t>
  </si>
  <si>
    <t>07</t>
  </si>
  <si>
    <t>101880</t>
  </si>
  <si>
    <t>92981</t>
  </si>
  <si>
    <t>93669</t>
  </si>
  <si>
    <t>94965</t>
  </si>
  <si>
    <t>96536</t>
  </si>
  <si>
    <t>96543</t>
  </si>
  <si>
    <t>96545</t>
  </si>
  <si>
    <t>96546</t>
  </si>
  <si>
    <t>94319</t>
  </si>
  <si>
    <t>SUPRAESTRUTURA</t>
  </si>
  <si>
    <t>96544</t>
  </si>
  <si>
    <t>96555</t>
  </si>
  <si>
    <t>101175</t>
  </si>
  <si>
    <t>08</t>
  </si>
  <si>
    <t xml:space="preserve">REDE GÁS - </t>
  </si>
  <si>
    <t>37401</t>
  </si>
  <si>
    <t>95547</t>
  </si>
  <si>
    <t>95544</t>
  </si>
  <si>
    <t>377</t>
  </si>
  <si>
    <t>86910</t>
  </si>
  <si>
    <t>99059</t>
  </si>
  <si>
    <t>09</t>
  </si>
  <si>
    <t>FRANCIELLY MATTEI DIAS LEMES</t>
  </si>
  <si>
    <t>TECNICA EM EDIFICAÇÕES</t>
  </si>
  <si>
    <t>CRT04-03486316931</t>
  </si>
  <si>
    <t>Em Análise</t>
  </si>
  <si>
    <t>Cotação</t>
  </si>
  <si>
    <t>102492</t>
  </si>
  <si>
    <t>98458</t>
  </si>
  <si>
    <t>88495</t>
  </si>
  <si>
    <t>96121</t>
  </si>
  <si>
    <t>101894</t>
  </si>
  <si>
    <t>OBRA DE MODERNIZAÇÃO DO CENTRO COMUNITARIO DE NOVA 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</si>
</sst>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26" fillId="0" borderId="32" xfId="35" applyFont="1" applyFill="1" applyBorder="1" applyAlignment="1" applyProtection="1">
      <alignment horizontal="center" vertical="center"/>
    </xf>
    <xf numFmtId="164" fontId="10" fillId="17" borderId="14" xfId="33" applyFont="1" applyFill="1" applyBorder="1" applyAlignment="1" applyProtection="1">
      <alignment horizontal="left"/>
      <protection locked="0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19" fillId="0" borderId="32" xfId="35" applyFont="1" applyBorder="1" applyAlignment="1" applyProtection="1">
      <alignment horizontal="center" vertical="center"/>
    </xf>
    <xf numFmtId="0" fontId="25" fillId="0" borderId="32" xfId="35" applyFont="1" applyBorder="1" applyAlignment="1" applyProtection="1">
      <alignment horizontal="center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top"/>
    </xf>
    <xf numFmtId="0" fontId="10" fillId="0" borderId="32" xfId="35" applyFont="1" applyBorder="1" applyAlignment="1" applyProtection="1">
      <alignment horizontal="left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0" fillId="0" borderId="10" xfId="35" applyFont="1" applyBorder="1" applyAlignment="1" applyProtection="1">
      <alignment horizontal="left" vertical="center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Border="1" applyAlignment="1">
      <alignment horizontal="center" textRotation="90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0" fontId="45" fillId="0" borderId="14" xfId="36" applyFont="1" applyBorder="1" applyAlignment="1">
      <alignment horizontal="left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9" borderId="40" xfId="0" applyFont="1" applyFill="1" applyBorder="1"/>
    <xf numFmtId="10" fontId="54" fillId="0" borderId="10" xfId="39" applyNumberFormat="1" applyFill="1" applyBorder="1" applyAlignment="1" applyProtection="1">
      <alignment horizontal="center"/>
    </xf>
    <xf numFmtId="10" fontId="54" fillId="0" borderId="34" xfId="39" applyNumberFormat="1" applyFill="1" applyBorder="1" applyAlignment="1" applyProtection="1">
      <alignment horizontal="center"/>
    </xf>
    <xf numFmtId="176" fontId="26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26" fillId="0" borderId="32" xfId="0" applyFont="1" applyBorder="1" applyAlignment="1">
      <alignment horizontal="right" vertical="center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1" xfId="39" applyNumberFormat="1" applyFill="1" applyBorder="1" applyAlignment="1" applyProtection="1">
      <alignment horizontal="center"/>
    </xf>
    <xf numFmtId="10" fontId="54" fillId="0" borderId="33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47" xfId="50" applyNumberFormat="1" applyFill="1" applyBorder="1" applyAlignment="1" applyProtection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0" fillId="0" borderId="14" xfId="0" applyNumberFormat="1" applyBorder="1" applyAlignment="1">
      <alignment horizontal="center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4" fontId="26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64" fillId="28" borderId="0" xfId="35" applyFont="1" applyFill="1" applyBorder="1" applyAlignment="1" applyProtection="1">
      <alignment horizontal="lef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8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436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05-2023.xls.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86" priority="70" stopIfTrue="1">
      <formula>TIPOORCAMENTO="Licitado"</formula>
    </cfRule>
  </conditionalFormatting>
  <conditionalFormatting sqref="C18:G18 E22:E24">
    <cfRule type="expression" dxfId="1185" priority="71" stopIfTrue="1">
      <formula>TIPOORCAMENTO&lt;&gt;"Licitado"</formula>
    </cfRule>
  </conditionalFormatting>
  <conditionalFormatting sqref="C22">
    <cfRule type="expression" dxfId="1184" priority="73" stopIfTrue="1">
      <formula>OR(TIPOORCAMENTO&lt;&gt;"Licitado",ACOMPANHAMENTO&lt;&gt;"PLE")</formula>
    </cfRule>
  </conditionalFormatting>
  <conditionalFormatting sqref="G22">
    <cfRule type="expression" dxfId="1183" priority="74" stopIfTrue="1">
      <formula>OR(TIPOORCAMENTO&lt;&gt;"Licitado",ACOMPANHAMENTO&lt;&gt;"BM")</formula>
    </cfRule>
  </conditionalFormatting>
  <conditionalFormatting sqref="B16:H16 B20:H20">
    <cfRule type="expression" dxfId="1182" priority="599" stopIfTrue="1">
      <formula>$O$3&lt;&gt;2</formula>
    </cfRule>
  </conditionalFormatting>
  <conditionalFormatting sqref="B8:H8">
    <cfRule type="expression" dxfId="118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6" activePane="bottomLeft" state="frozen"/>
      <selection pane="bottomLeft" activeCell="F22" sqref="E21:F22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443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437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438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ht="25.5" x14ac:dyDescent="0.2">
      <c r="E16" s="32" t="s">
        <v>102</v>
      </c>
      <c r="F16" s="33" t="s">
        <v>548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447</v>
      </c>
      <c r="J18" s="15" t="s">
        <v>23</v>
      </c>
    </row>
    <row r="19" spans="5:10" x14ac:dyDescent="0.2">
      <c r="E19" s="37" t="s">
        <v>105</v>
      </c>
      <c r="F19" s="38">
        <v>45047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448</v>
      </c>
    </row>
    <row r="23" spans="5:10" x14ac:dyDescent="0.2">
      <c r="E23" s="25" t="s">
        <v>108</v>
      </c>
      <c r="F23" s="26" t="s">
        <v>449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45131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444</v>
      </c>
    </row>
    <row r="29" spans="5:10" x14ac:dyDescent="0.2">
      <c r="E29" s="29" t="s">
        <v>112</v>
      </c>
      <c r="F29" s="44" t="s">
        <v>445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45138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 t="s">
        <v>538</v>
      </c>
    </row>
    <row r="51" spans="5:6" x14ac:dyDescent="0.2">
      <c r="E51" s="25" t="s">
        <v>126</v>
      </c>
      <c r="F51" s="26" t="s">
        <v>539</v>
      </c>
    </row>
    <row r="52" spans="5:6" x14ac:dyDescent="0.2">
      <c r="E52" s="25" t="s">
        <v>127</v>
      </c>
      <c r="F52" s="26" t="s">
        <v>540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80" priority="2" stopIfTrue="1">
      <formula>CAIXA.Modo=FALSE</formula>
    </cfRule>
  </conditionalFormatting>
  <conditionalFormatting sqref="E58:F60">
    <cfRule type="expression" dxfId="117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39" activePane="bottomLeft" state="frozen"/>
      <selection activeCell="E1" sqref="E1"/>
      <selection pane="bottomLeft" activeCell="Q49" sqref="Q49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64" t="s">
        <v>139</v>
      </c>
      <c r="S1" s="664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65" t="s">
        <v>142</v>
      </c>
      <c r="S2" s="665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66" t="s">
        <v>439</v>
      </c>
      <c r="K4" s="666"/>
      <c r="L4" s="666" t="s">
        <v>440</v>
      </c>
      <c r="M4" s="666"/>
      <c r="N4" s="666" t="s">
        <v>146</v>
      </c>
      <c r="O4" s="666"/>
      <c r="P4" s="666"/>
      <c r="Q4" s="666"/>
      <c r="R4" s="666"/>
      <c r="S4" s="666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63">
        <f>Import.CR</f>
        <v>0</v>
      </c>
      <c r="K5" s="663"/>
      <c r="L5" s="663">
        <f>Import.SICONV</f>
        <v>0</v>
      </c>
      <c r="M5" s="663"/>
      <c r="N5" s="663" t="str">
        <f>Import.Proponente</f>
        <v>MUNICIPIO DE CÉU AZUL</v>
      </c>
      <c r="O5" s="663"/>
      <c r="P5" s="663"/>
      <c r="Q5" s="663"/>
      <c r="R5" s="663"/>
      <c r="S5" s="663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92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92"/>
      <c r="J7" s="666" t="s">
        <v>150</v>
      </c>
      <c r="K7" s="666"/>
      <c r="L7" s="666"/>
      <c r="M7" s="666"/>
      <c r="N7" s="666"/>
      <c r="O7" s="666"/>
      <c r="P7" s="666"/>
      <c r="Q7" s="666"/>
      <c r="R7" s="666"/>
      <c r="S7" s="666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92"/>
      <c r="J8" s="669" t="str">
        <f>Import.Apelido&amp;" / "&amp;Import.DescLote</f>
        <v xml:space="preserve">OBRA DE MODERNIZAÇÃO DO CENTRO COMUNITARIO DE NOVA UNIÃO / </v>
      </c>
      <c r="K8" s="669"/>
      <c r="L8" s="669"/>
      <c r="M8" s="669"/>
      <c r="N8" s="669"/>
      <c r="O8" s="669"/>
      <c r="P8" s="669"/>
      <c r="Q8" s="669"/>
      <c r="R8" s="669"/>
      <c r="S8" s="669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92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92"/>
      <c r="J10" s="670" t="s">
        <v>152</v>
      </c>
      <c r="K10" s="670"/>
      <c r="L10" s="670"/>
      <c r="M10" s="670"/>
      <c r="N10" s="670"/>
      <c r="O10" s="670"/>
      <c r="P10" s="670"/>
      <c r="Q10" s="670"/>
      <c r="R10" s="668">
        <v>0.6</v>
      </c>
      <c r="S10" s="668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67" t="s">
        <v>153</v>
      </c>
      <c r="K11" s="667"/>
      <c r="L11" s="667"/>
      <c r="M11" s="667"/>
      <c r="N11" s="667"/>
      <c r="O11" s="667"/>
      <c r="P11" s="667"/>
      <c r="Q11" s="667"/>
      <c r="R11" s="668">
        <v>0.04</v>
      </c>
      <c r="S11" s="668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75" t="s">
        <v>155</v>
      </c>
      <c r="K14" s="675"/>
      <c r="L14" s="675"/>
      <c r="M14" s="675"/>
      <c r="N14" s="675"/>
      <c r="O14" s="675"/>
      <c r="P14" s="675"/>
      <c r="Q14" s="675"/>
      <c r="R14" s="675"/>
      <c r="S14" s="67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66" t="s">
        <v>156</v>
      </c>
      <c r="K16" s="666"/>
      <c r="L16" s="666"/>
      <c r="M16" s="666"/>
      <c r="N16" s="666"/>
      <c r="O16" s="666"/>
      <c r="P16" s="666"/>
      <c r="Q16" s="666"/>
      <c r="R16" s="666"/>
      <c r="S16" s="666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72" t="s">
        <v>408</v>
      </c>
      <c r="K17" s="672"/>
      <c r="L17" s="672"/>
      <c r="M17" s="672"/>
      <c r="N17" s="672"/>
      <c r="O17" s="672"/>
      <c r="P17" s="672"/>
      <c r="Q17" s="672"/>
      <c r="R17" s="672"/>
      <c r="S17" s="672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74" t="s">
        <v>157</v>
      </c>
      <c r="K19" s="674"/>
      <c r="L19" s="674"/>
      <c r="M19" s="674"/>
      <c r="N19" s="674"/>
      <c r="O19" s="674"/>
      <c r="P19" s="674"/>
      <c r="Q19" s="674"/>
      <c r="R19" s="674" t="s">
        <v>158</v>
      </c>
      <c r="S19" s="673" t="s">
        <v>159</v>
      </c>
      <c r="U19" s="673" t="s">
        <v>160</v>
      </c>
      <c r="V19" s="673"/>
      <c r="W19" s="673"/>
      <c r="X19" s="671" t="s">
        <v>161</v>
      </c>
      <c r="Y19" s="671" t="s">
        <v>162</v>
      </c>
      <c r="Z19" s="67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74"/>
      <c r="K20" s="674"/>
      <c r="L20" s="674"/>
      <c r="M20" s="674"/>
      <c r="N20" s="674"/>
      <c r="O20" s="674"/>
      <c r="P20" s="674"/>
      <c r="Q20" s="674"/>
      <c r="R20" s="674"/>
      <c r="S20" s="673"/>
      <c r="U20" s="673"/>
      <c r="V20" s="673"/>
      <c r="W20" s="673"/>
      <c r="X20" s="671"/>
      <c r="Y20" s="671"/>
      <c r="Z20" s="67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6" t="str">
        <f>IF($J$17=$A$146,"Encargos Sociais incidentes sobre a mão de obra","Administração Central")</f>
        <v>Administração Central</v>
      </c>
      <c r="K21" s="676"/>
      <c r="L21" s="676"/>
      <c r="M21" s="676"/>
      <c r="N21" s="676"/>
      <c r="O21" s="676"/>
      <c r="P21" s="676"/>
      <c r="Q21" s="676"/>
      <c r="R21" s="77" t="str">
        <f>IF($J17=$A$146,"K1","AC")</f>
        <v>AC</v>
      </c>
      <c r="S21" s="78">
        <v>4.5999999999999999E-2</v>
      </c>
      <c r="U21" s="677" t="s">
        <v>165</v>
      </c>
      <c r="V21" s="677"/>
      <c r="W21" s="677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6" t="str">
        <f>IF($J$17=$A$146,"Administração Central da empresa ou consultoria - overhead","Seguro e Garantia")</f>
        <v>Seguro e Garantia</v>
      </c>
      <c r="K22" s="676"/>
      <c r="L22" s="676"/>
      <c r="M22" s="676"/>
      <c r="N22" s="676"/>
      <c r="O22" s="676"/>
      <c r="P22" s="676"/>
      <c r="Q22" s="676"/>
      <c r="R22" s="77" t="str">
        <f>IF($J17=$A$146,"K2","SG")</f>
        <v>SG</v>
      </c>
      <c r="S22" s="78">
        <v>7.0000000000000001E-3</v>
      </c>
      <c r="U22" s="677" t="s">
        <v>165</v>
      </c>
      <c r="V22" s="677"/>
      <c r="W22" s="677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6" t="str">
        <f>IF($J$17=$A$146,"","Risco")</f>
        <v>Risco</v>
      </c>
      <c r="K23" s="676"/>
      <c r="L23" s="676"/>
      <c r="M23" s="676"/>
      <c r="N23" s="676"/>
      <c r="O23" s="676"/>
      <c r="P23" s="676"/>
      <c r="Q23" s="676"/>
      <c r="R23" s="77" t="str">
        <f>IF($J17=$A$146,"","R")</f>
        <v>R</v>
      </c>
      <c r="S23" s="78">
        <v>9.4999999999999998E-3</v>
      </c>
      <c r="U23" s="677" t="s">
        <v>165</v>
      </c>
      <c r="V23" s="677"/>
      <c r="W23" s="677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6" t="str">
        <f>IF($J$17=$A$146,"","Despesas Financeiras")</f>
        <v>Despesas Financeiras</v>
      </c>
      <c r="K24" s="676"/>
      <c r="L24" s="676"/>
      <c r="M24" s="676"/>
      <c r="N24" s="676"/>
      <c r="O24" s="676"/>
      <c r="P24" s="676"/>
      <c r="Q24" s="676"/>
      <c r="R24" s="77" t="str">
        <f>IF($J17=$A$146,"","DF")</f>
        <v>DF</v>
      </c>
      <c r="S24" s="78">
        <v>1.2E-2</v>
      </c>
      <c r="U24" s="677" t="s">
        <v>165</v>
      </c>
      <c r="V24" s="677"/>
      <c r="W24" s="677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6" t="str">
        <f>IF($J$17=$A$146,"Margem bruta da empresa de consultoria","Lucro")</f>
        <v>Lucro</v>
      </c>
      <c r="K25" s="676"/>
      <c r="L25" s="676"/>
      <c r="M25" s="676"/>
      <c r="N25" s="676"/>
      <c r="O25" s="676"/>
      <c r="P25" s="676"/>
      <c r="Q25" s="676"/>
      <c r="R25" s="77" t="str">
        <f>IF($J17=$A$146,"K3","L")</f>
        <v>L</v>
      </c>
      <c r="S25" s="78">
        <v>8.6900000000000005E-2</v>
      </c>
      <c r="U25" s="677" t="s">
        <v>165</v>
      </c>
      <c r="V25" s="677"/>
      <c r="W25" s="677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6" t="s">
        <v>167</v>
      </c>
      <c r="K26" s="676"/>
      <c r="L26" s="676"/>
      <c r="M26" s="676"/>
      <c r="N26" s="676"/>
      <c r="O26" s="676"/>
      <c r="P26" s="676"/>
      <c r="Q26" s="676"/>
      <c r="R26" s="77" t="s">
        <v>168</v>
      </c>
      <c r="S26" s="78">
        <v>3.6499999999999998E-2</v>
      </c>
      <c r="U26" s="677" t="s">
        <v>165</v>
      </c>
      <c r="V26" s="677"/>
      <c r="W26" s="677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6" t="s">
        <v>169</v>
      </c>
      <c r="K27" s="676"/>
      <c r="L27" s="676"/>
      <c r="M27" s="676"/>
      <c r="N27" s="676"/>
      <c r="O27" s="676"/>
      <c r="P27" s="676"/>
      <c r="Q27" s="676"/>
      <c r="R27" s="77" t="s">
        <v>170</v>
      </c>
      <c r="S27" s="79">
        <f ca="1">IF(AND($J17&lt;&gt;$A$145,COUNTA(OFFSET(S20,1,0,6))&gt;0),$R$11*$R$10,0)</f>
        <v>2.4E-2</v>
      </c>
      <c r="U27" s="677" t="s">
        <v>165</v>
      </c>
      <c r="V27" s="677"/>
      <c r="W27" s="677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6" t="s">
        <v>171</v>
      </c>
      <c r="K28" s="676"/>
      <c r="L28" s="676"/>
      <c r="M28" s="676"/>
      <c r="N28" s="676"/>
      <c r="O28" s="676"/>
      <c r="P28" s="676"/>
      <c r="Q28" s="676"/>
      <c r="R28" s="77" t="s">
        <v>172</v>
      </c>
      <c r="S28" s="79">
        <f ca="1">IF(BDI.Opcao&lt;&gt;"Desonerado",0,IF(AND($J17&lt;&gt;$A$145,COUNTA(OFFSET(S20,1,0,6))&gt;0),4.5%,0%))</f>
        <v>0</v>
      </c>
      <c r="U28" s="677" t="s">
        <v>165</v>
      </c>
      <c r="V28" s="677"/>
      <c r="W28" s="677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6" t="s">
        <v>173</v>
      </c>
      <c r="K29" s="676"/>
      <c r="L29" s="676"/>
      <c r="M29" s="676"/>
      <c r="N29" s="676"/>
      <c r="O29" s="676"/>
      <c r="P29" s="676"/>
      <c r="Q29" s="676"/>
      <c r="R29" s="81" t="s">
        <v>149</v>
      </c>
      <c r="S29" s="79">
        <f ca="1">IF($J17=$A$145,0,ROUND((((1+S21+S22+S23)*(1+S24)*(1+S25)/(1-(S26+S27)))-1),4))</f>
        <v>0.24390000000000001</v>
      </c>
      <c r="U29" s="673" t="e">
        <f ca="1">IF(OR($J$17=$A$146,$J$17=$A$145,AND(S29&gt;=X29,S29&lt;=Z29)),"OK","FORA DO INTERVALO")</f>
        <v>#N/A</v>
      </c>
      <c r="V29" s="673"/>
      <c r="W29" s="673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80" t="s">
        <v>174</v>
      </c>
      <c r="K30" s="680"/>
      <c r="L30" s="680"/>
      <c r="M30" s="680"/>
      <c r="N30" s="680"/>
      <c r="O30" s="680"/>
      <c r="P30" s="680"/>
      <c r="Q30" s="680"/>
      <c r="R30" s="82" t="s">
        <v>175</v>
      </c>
      <c r="S30" s="83">
        <f ca="1">IF($J17=$A$145,0,ROUND((((1+S21+S22+S23)*(1+S24)*(1+S25)/(1-(S26+S27+S28)))-1),4))</f>
        <v>0.24390000000000001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81" t="e">
        <f ca="1">IF(U29&lt;&gt;"ok","Anexo: Relatório Técnico Circunstanciado justificando a adoção do percentual de cada parcela do BDI.","")</f>
        <v>#N/A</v>
      </c>
      <c r="L32" s="681"/>
      <c r="M32" s="681"/>
      <c r="N32" s="681"/>
      <c r="O32" s="681"/>
      <c r="P32" s="681"/>
      <c r="Q32" s="681"/>
      <c r="R32" s="681"/>
      <c r="S32" s="681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82" t="s">
        <v>177</v>
      </c>
      <c r="K34" s="682"/>
      <c r="L34" s="682"/>
      <c r="M34" s="682"/>
      <c r="N34" s="682"/>
      <c r="O34" s="682"/>
      <c r="P34" s="682"/>
      <c r="Q34" s="682"/>
      <c r="R34" s="682"/>
      <c r="S34" s="682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83" t="s">
        <v>178</v>
      </c>
      <c r="N35" s="689" t="str">
        <f>IF($J17=$A$146,"(1+K1+K2)*(1+K3)","(1+AC + S + R + G)*(1 + DF)*(1+L)")</f>
        <v>(1+AC + S + R + G)*(1 + DF)*(1+L)</v>
      </c>
      <c r="O35" s="689"/>
      <c r="P35" s="689"/>
      <c r="Q35" s="69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83"/>
      <c r="N36" s="678" t="s">
        <v>180</v>
      </c>
      <c r="O36" s="678"/>
      <c r="P36" s="678"/>
      <c r="Q36" s="69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38" s="679"/>
      <c r="L38" s="679"/>
      <c r="M38" s="679"/>
      <c r="N38" s="679"/>
      <c r="O38" s="679"/>
      <c r="P38" s="679"/>
      <c r="Q38" s="679"/>
      <c r="R38" s="679"/>
      <c r="S38" s="679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0" s="679"/>
      <c r="L40" s="679"/>
      <c r="M40" s="679"/>
      <c r="N40" s="679"/>
      <c r="O40" s="679"/>
      <c r="P40" s="679"/>
      <c r="Q40" s="679"/>
      <c r="R40" s="679"/>
      <c r="S40" s="679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91"/>
      <c r="K43" s="691"/>
      <c r="L43" s="691"/>
      <c r="M43" s="691"/>
      <c r="N43" s="691"/>
      <c r="O43" s="691"/>
      <c r="P43" s="691"/>
      <c r="Q43" s="691"/>
      <c r="R43" s="691"/>
      <c r="S43" s="691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85" t="str">
        <f>Import.Município</f>
        <v>CEU AZUL - PR</v>
      </c>
      <c r="K45" s="685"/>
      <c r="L45" s="685"/>
      <c r="M45" s="685"/>
      <c r="P45" s="686">
        <f>DADOS!$F$25</f>
        <v>45131</v>
      </c>
      <c r="Q45" s="686"/>
      <c r="R45" s="686"/>
      <c r="S45" s="686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87" t="s">
        <v>187</v>
      </c>
      <c r="K46" s="687"/>
      <c r="L46" s="687"/>
      <c r="M46" s="687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88"/>
      <c r="K48" s="688"/>
      <c r="L48" s="688"/>
      <c r="M48" s="688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84" t="s">
        <v>189</v>
      </c>
      <c r="K49" s="684"/>
      <c r="L49" s="684"/>
      <c r="M49" s="684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GIAN CARLOS BORTOLINI VALLI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PR-163755/D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75" t="s">
        <v>190</v>
      </c>
      <c r="K54" s="675"/>
      <c r="L54" s="675"/>
      <c r="M54" s="675"/>
      <c r="N54" s="675"/>
      <c r="O54" s="675"/>
      <c r="P54" s="675"/>
      <c r="Q54" s="675"/>
      <c r="R54" s="675"/>
      <c r="S54" s="67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66" t="s">
        <v>156</v>
      </c>
      <c r="K56" s="666"/>
      <c r="L56" s="666"/>
      <c r="M56" s="666"/>
      <c r="N56" s="666"/>
      <c r="O56" s="666"/>
      <c r="P56" s="666"/>
      <c r="Q56" s="666"/>
      <c r="R56" s="666"/>
      <c r="S56" s="666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72" t="s">
        <v>408</v>
      </c>
      <c r="K57" s="672"/>
      <c r="L57" s="672"/>
      <c r="M57" s="672"/>
      <c r="N57" s="672"/>
      <c r="O57" s="672"/>
      <c r="P57" s="672"/>
      <c r="Q57" s="672"/>
      <c r="R57" s="672"/>
      <c r="S57" s="672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74" t="s">
        <v>157</v>
      </c>
      <c r="K59" s="674"/>
      <c r="L59" s="674"/>
      <c r="M59" s="674"/>
      <c r="N59" s="674"/>
      <c r="O59" s="674"/>
      <c r="P59" s="674"/>
      <c r="Q59" s="674"/>
      <c r="R59" s="674" t="s">
        <v>158</v>
      </c>
      <c r="S59" s="673" t="s">
        <v>159</v>
      </c>
      <c r="U59" s="673" t="s">
        <v>160</v>
      </c>
      <c r="V59" s="673"/>
      <c r="W59" s="673"/>
      <c r="X59" s="671" t="s">
        <v>161</v>
      </c>
      <c r="Y59" s="671" t="s">
        <v>162</v>
      </c>
      <c r="Z59" s="67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74"/>
      <c r="K60" s="674"/>
      <c r="L60" s="674"/>
      <c r="M60" s="674"/>
      <c r="N60" s="674"/>
      <c r="O60" s="674"/>
      <c r="P60" s="674"/>
      <c r="Q60" s="674"/>
      <c r="R60" s="674"/>
      <c r="S60" s="673"/>
      <c r="U60" s="673"/>
      <c r="V60" s="673"/>
      <c r="W60" s="673"/>
      <c r="X60" s="671"/>
      <c r="Y60" s="671"/>
      <c r="Z60" s="67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6" t="str">
        <f>IF($J$17=$A$146,"Encargos Sociais incidentes sobre a mão de obra","Administração Central")</f>
        <v>Administração Central</v>
      </c>
      <c r="K61" s="676"/>
      <c r="L61" s="676"/>
      <c r="M61" s="676"/>
      <c r="N61" s="676"/>
      <c r="O61" s="676"/>
      <c r="P61" s="676"/>
      <c r="Q61" s="676"/>
      <c r="R61" s="77" t="str">
        <f>IF($J57=$A$146,"K1","AC")</f>
        <v>AC</v>
      </c>
      <c r="S61" s="78"/>
      <c r="U61" s="677" t="s">
        <v>165</v>
      </c>
      <c r="V61" s="677"/>
      <c r="W61" s="677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6" t="str">
        <f>IF($J$17=$A$146,"Administração Central da empresa ou consultoria - overhead","Seguro e Garantia")</f>
        <v>Seguro e Garantia</v>
      </c>
      <c r="K62" s="676"/>
      <c r="L62" s="676"/>
      <c r="M62" s="676"/>
      <c r="N62" s="676"/>
      <c r="O62" s="676"/>
      <c r="P62" s="676"/>
      <c r="Q62" s="676"/>
      <c r="R62" s="77" t="str">
        <f>IF($J57=$A$146,"K2","SG")</f>
        <v>SG</v>
      </c>
      <c r="S62" s="78"/>
      <c r="U62" s="677" t="s">
        <v>165</v>
      </c>
      <c r="V62" s="677"/>
      <c r="W62" s="677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6" t="str">
        <f>IF($J$17=$A$146,"","Risco")</f>
        <v>Risco</v>
      </c>
      <c r="K63" s="676"/>
      <c r="L63" s="676"/>
      <c r="M63" s="676"/>
      <c r="N63" s="676"/>
      <c r="O63" s="676"/>
      <c r="P63" s="676"/>
      <c r="Q63" s="676"/>
      <c r="R63" s="77" t="str">
        <f>IF($J57=$A$146,"","R")</f>
        <v>R</v>
      </c>
      <c r="S63" s="78"/>
      <c r="U63" s="677" t="s">
        <v>165</v>
      </c>
      <c r="V63" s="677"/>
      <c r="W63" s="677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6" t="str">
        <f>IF($J$17=$A$146,"","Despesas Financeiras")</f>
        <v>Despesas Financeiras</v>
      </c>
      <c r="K64" s="676"/>
      <c r="L64" s="676"/>
      <c r="M64" s="676"/>
      <c r="N64" s="676"/>
      <c r="O64" s="676"/>
      <c r="P64" s="676"/>
      <c r="Q64" s="676"/>
      <c r="R64" s="77" t="str">
        <f>IF($J57=$A$146,"","DF")</f>
        <v>DF</v>
      </c>
      <c r="S64" s="78"/>
      <c r="U64" s="677" t="s">
        <v>165</v>
      </c>
      <c r="V64" s="677"/>
      <c r="W64" s="677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6" t="str">
        <f>IF($J$17=$A$146,"Margem bruta da empresa de consultoria","Lucro")</f>
        <v>Lucro</v>
      </c>
      <c r="K65" s="676"/>
      <c r="L65" s="676"/>
      <c r="M65" s="676"/>
      <c r="N65" s="676"/>
      <c r="O65" s="676"/>
      <c r="P65" s="676"/>
      <c r="Q65" s="676"/>
      <c r="R65" s="77" t="str">
        <f>IF($J57=$A$146,"K3","L")</f>
        <v>L</v>
      </c>
      <c r="S65" s="78"/>
      <c r="U65" s="677" t="s">
        <v>165</v>
      </c>
      <c r="V65" s="677"/>
      <c r="W65" s="677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6" t="s">
        <v>167</v>
      </c>
      <c r="K66" s="676"/>
      <c r="L66" s="676"/>
      <c r="M66" s="676"/>
      <c r="N66" s="676"/>
      <c r="O66" s="676"/>
      <c r="P66" s="676"/>
      <c r="Q66" s="676"/>
      <c r="R66" s="77" t="s">
        <v>168</v>
      </c>
      <c r="S66" s="78"/>
      <c r="U66" s="677" t="s">
        <v>165</v>
      </c>
      <c r="V66" s="677"/>
      <c r="W66" s="677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6" t="s">
        <v>169</v>
      </c>
      <c r="K67" s="676"/>
      <c r="L67" s="676"/>
      <c r="M67" s="676"/>
      <c r="N67" s="676"/>
      <c r="O67" s="676"/>
      <c r="P67" s="676"/>
      <c r="Q67" s="676"/>
      <c r="R67" s="77" t="s">
        <v>170</v>
      </c>
      <c r="S67" s="79">
        <f ca="1">IF(AND($J57&lt;&gt;$A$145,COUNTA(OFFSET(S60,1,0,6))&gt;0),$R$11*$R$10,0)</f>
        <v>0</v>
      </c>
      <c r="U67" s="677" t="s">
        <v>165</v>
      </c>
      <c r="V67" s="677"/>
      <c r="W67" s="677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6" t="s">
        <v>171</v>
      </c>
      <c r="K68" s="676"/>
      <c r="L68" s="676"/>
      <c r="M68" s="676"/>
      <c r="N68" s="676"/>
      <c r="O68" s="676"/>
      <c r="P68" s="676"/>
      <c r="Q68" s="676"/>
      <c r="R68" s="77" t="s">
        <v>172</v>
      </c>
      <c r="S68" s="79">
        <f ca="1">IF(BDI.Opcao&lt;&gt;"Desonerado",0,IF(AND($J57&lt;&gt;$A$145,COUNTA(OFFSET(S60,1,0,6))&gt;0),4.5%,0%))</f>
        <v>0</v>
      </c>
      <c r="U68" s="677" t="s">
        <v>165</v>
      </c>
      <c r="V68" s="677"/>
      <c r="W68" s="677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6" t="s">
        <v>173</v>
      </c>
      <c r="K69" s="676"/>
      <c r="L69" s="676"/>
      <c r="M69" s="676"/>
      <c r="N69" s="676"/>
      <c r="O69" s="676"/>
      <c r="P69" s="676"/>
      <c r="Q69" s="676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80" t="s">
        <v>174</v>
      </c>
      <c r="K70" s="680"/>
      <c r="L70" s="680"/>
      <c r="M70" s="680"/>
      <c r="N70" s="680"/>
      <c r="O70" s="680"/>
      <c r="P70" s="680"/>
      <c r="Q70" s="680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81" t="e">
        <f ca="1">IF(U69&lt;&gt;"ok","Anexo: Relatório Técnico Circunstanciado justificando a adoção do percentual de cada parcela do BDI.","")</f>
        <v>#N/A</v>
      </c>
      <c r="L72" s="681"/>
      <c r="M72" s="681"/>
      <c r="N72" s="681"/>
      <c r="O72" s="681"/>
      <c r="P72" s="681"/>
      <c r="Q72" s="681"/>
      <c r="R72" s="681"/>
      <c r="S72" s="681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82" t="s">
        <v>177</v>
      </c>
      <c r="K74" s="682"/>
      <c r="L74" s="682"/>
      <c r="M74" s="682"/>
      <c r="N74" s="682"/>
      <c r="O74" s="682"/>
      <c r="P74" s="682"/>
      <c r="Q74" s="682"/>
      <c r="R74" s="682"/>
      <c r="S74" s="682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83" t="s">
        <v>178</v>
      </c>
      <c r="N75" s="689" t="str">
        <f>IF($J57=$A$146,"(1+K1+K2)*(1+K3)","(1+AC + S + R + G)*(1 + DF)*(1+L)")</f>
        <v>(1+AC + S + R + G)*(1 + DF)*(1+L)</v>
      </c>
      <c r="O75" s="689"/>
      <c r="P75" s="689"/>
      <c r="Q75" s="69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83"/>
      <c r="N76" s="678" t="s">
        <v>180</v>
      </c>
      <c r="O76" s="678"/>
      <c r="P76" s="678"/>
      <c r="Q76" s="69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78" s="679"/>
      <c r="L78" s="679"/>
      <c r="M78" s="679"/>
      <c r="N78" s="679"/>
      <c r="O78" s="679"/>
      <c r="P78" s="679"/>
      <c r="Q78" s="679"/>
      <c r="R78" s="679"/>
      <c r="S78" s="679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80" s="679"/>
      <c r="L80" s="679"/>
      <c r="M80" s="679"/>
      <c r="N80" s="679"/>
      <c r="O80" s="679"/>
      <c r="P80" s="679"/>
      <c r="Q80" s="679"/>
      <c r="R80" s="679"/>
      <c r="S80" s="679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91"/>
      <c r="K83" s="691"/>
      <c r="L83" s="691"/>
      <c r="M83" s="691"/>
      <c r="N83" s="691"/>
      <c r="O83" s="691"/>
      <c r="P83" s="691"/>
      <c r="Q83" s="691"/>
      <c r="R83" s="691"/>
      <c r="S83" s="691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85" t="str">
        <f>Import.Município</f>
        <v>CEU AZUL - PR</v>
      </c>
      <c r="K85" s="685"/>
      <c r="L85" s="685"/>
      <c r="M85" s="685"/>
      <c r="P85" s="686">
        <f>DADOS!$F$25</f>
        <v>45131</v>
      </c>
      <c r="Q85" s="686"/>
      <c r="R85" s="686"/>
      <c r="S85" s="686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87" t="s">
        <v>187</v>
      </c>
      <c r="K86" s="687"/>
      <c r="L86" s="687"/>
      <c r="M86" s="687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88"/>
      <c r="K88" s="688"/>
      <c r="L88" s="688"/>
      <c r="M88" s="688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84" t="s">
        <v>189</v>
      </c>
      <c r="K89" s="684"/>
      <c r="L89" s="684"/>
      <c r="M89" s="684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GIAN CARLOS BORTOLINI VALLI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PR-163755/D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75" t="s">
        <v>191</v>
      </c>
      <c r="K94" s="675"/>
      <c r="L94" s="675"/>
      <c r="M94" s="675"/>
      <c r="N94" s="675"/>
      <c r="O94" s="675"/>
      <c r="P94" s="675"/>
      <c r="Q94" s="675"/>
      <c r="R94" s="675"/>
      <c r="S94" s="67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66" t="s">
        <v>156</v>
      </c>
      <c r="K96" s="666"/>
      <c r="L96" s="666"/>
      <c r="M96" s="666"/>
      <c r="N96" s="666"/>
      <c r="O96" s="666"/>
      <c r="P96" s="666"/>
      <c r="Q96" s="666"/>
      <c r="R96" s="666"/>
      <c r="S96" s="666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72" t="s">
        <v>408</v>
      </c>
      <c r="K97" s="672"/>
      <c r="L97" s="672"/>
      <c r="M97" s="672"/>
      <c r="N97" s="672"/>
      <c r="O97" s="672"/>
      <c r="P97" s="672"/>
      <c r="Q97" s="672"/>
      <c r="R97" s="672"/>
      <c r="S97" s="672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74" t="s">
        <v>157</v>
      </c>
      <c r="K99" s="674"/>
      <c r="L99" s="674"/>
      <c r="M99" s="674"/>
      <c r="N99" s="674"/>
      <c r="O99" s="674"/>
      <c r="P99" s="674"/>
      <c r="Q99" s="674"/>
      <c r="R99" s="674" t="s">
        <v>158</v>
      </c>
      <c r="S99" s="673" t="s">
        <v>159</v>
      </c>
      <c r="U99" s="673" t="s">
        <v>160</v>
      </c>
      <c r="V99" s="673"/>
      <c r="W99" s="673"/>
      <c r="X99" s="671" t="s">
        <v>161</v>
      </c>
      <c r="Y99" s="671" t="s">
        <v>162</v>
      </c>
      <c r="Z99" s="67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74"/>
      <c r="K100" s="674"/>
      <c r="L100" s="674"/>
      <c r="M100" s="674"/>
      <c r="N100" s="674"/>
      <c r="O100" s="674"/>
      <c r="P100" s="674"/>
      <c r="Q100" s="674"/>
      <c r="R100" s="674"/>
      <c r="S100" s="673"/>
      <c r="U100" s="673"/>
      <c r="V100" s="673"/>
      <c r="W100" s="673"/>
      <c r="X100" s="671"/>
      <c r="Y100" s="671"/>
      <c r="Z100" s="67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6" t="str">
        <f>IF($J$17=$A$146,"Encargos Sociais incidentes sobre a mão de obra","Administração Central")</f>
        <v>Administração Central</v>
      </c>
      <c r="K101" s="676"/>
      <c r="L101" s="676"/>
      <c r="M101" s="676"/>
      <c r="N101" s="676"/>
      <c r="O101" s="676"/>
      <c r="P101" s="676"/>
      <c r="Q101" s="676"/>
      <c r="R101" s="77" t="str">
        <f>IF($J97=$A$146,"K1","AC")</f>
        <v>AC</v>
      </c>
      <c r="S101" s="78"/>
      <c r="U101" s="677" t="s">
        <v>165</v>
      </c>
      <c r="V101" s="677"/>
      <c r="W101" s="677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6" t="str">
        <f>IF($J$17=$A$146,"Administração Central da empresa ou consultoria - overhead","Seguro e Garantia")</f>
        <v>Seguro e Garantia</v>
      </c>
      <c r="K102" s="676"/>
      <c r="L102" s="676"/>
      <c r="M102" s="676"/>
      <c r="N102" s="676"/>
      <c r="O102" s="676"/>
      <c r="P102" s="676"/>
      <c r="Q102" s="676"/>
      <c r="R102" s="77" t="str">
        <f>IF($J97=$A$146,"K2","SG")</f>
        <v>SG</v>
      </c>
      <c r="S102" s="78"/>
      <c r="U102" s="677" t="s">
        <v>165</v>
      </c>
      <c r="V102" s="677"/>
      <c r="W102" s="677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6" t="str">
        <f>IF($J$17=$A$146,"","Risco")</f>
        <v>Risco</v>
      </c>
      <c r="K103" s="676"/>
      <c r="L103" s="676"/>
      <c r="M103" s="676"/>
      <c r="N103" s="676"/>
      <c r="O103" s="676"/>
      <c r="P103" s="676"/>
      <c r="Q103" s="676"/>
      <c r="R103" s="77" t="str">
        <f>IF($J97=$A$146,"","R")</f>
        <v>R</v>
      </c>
      <c r="S103" s="78"/>
      <c r="U103" s="677" t="s">
        <v>165</v>
      </c>
      <c r="V103" s="677"/>
      <c r="W103" s="677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6" t="str">
        <f>IF($J$17=$A$146,"","Despesas Financeiras")</f>
        <v>Despesas Financeiras</v>
      </c>
      <c r="K104" s="676"/>
      <c r="L104" s="676"/>
      <c r="M104" s="676"/>
      <c r="N104" s="676"/>
      <c r="O104" s="676"/>
      <c r="P104" s="676"/>
      <c r="Q104" s="676"/>
      <c r="R104" s="77" t="str">
        <f>IF($J97=$A$146,"","DF")</f>
        <v>DF</v>
      </c>
      <c r="S104" s="78"/>
      <c r="U104" s="677" t="s">
        <v>165</v>
      </c>
      <c r="V104" s="677"/>
      <c r="W104" s="677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6" t="str">
        <f>IF($J$17=$A$146,"Margem bruta da empresa de consultoria","Lucro")</f>
        <v>Lucro</v>
      </c>
      <c r="K105" s="676"/>
      <c r="L105" s="676"/>
      <c r="M105" s="676"/>
      <c r="N105" s="676"/>
      <c r="O105" s="676"/>
      <c r="P105" s="676"/>
      <c r="Q105" s="676"/>
      <c r="R105" s="77" t="str">
        <f>IF($J97=$A$146,"K3","L")</f>
        <v>L</v>
      </c>
      <c r="S105" s="78"/>
      <c r="U105" s="677" t="s">
        <v>165</v>
      </c>
      <c r="V105" s="677"/>
      <c r="W105" s="677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6" t="s">
        <v>167</v>
      </c>
      <c r="K106" s="676"/>
      <c r="L106" s="676"/>
      <c r="M106" s="676"/>
      <c r="N106" s="676"/>
      <c r="O106" s="676"/>
      <c r="P106" s="676"/>
      <c r="Q106" s="676"/>
      <c r="R106" s="77" t="s">
        <v>168</v>
      </c>
      <c r="S106" s="78"/>
      <c r="U106" s="677" t="s">
        <v>165</v>
      </c>
      <c r="V106" s="677"/>
      <c r="W106" s="677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6" t="s">
        <v>169</v>
      </c>
      <c r="K107" s="676"/>
      <c r="L107" s="676"/>
      <c r="M107" s="676"/>
      <c r="N107" s="676"/>
      <c r="O107" s="676"/>
      <c r="P107" s="676"/>
      <c r="Q107" s="676"/>
      <c r="R107" s="77" t="s">
        <v>170</v>
      </c>
      <c r="S107" s="79">
        <f ca="1">IF(AND($J97&lt;&gt;$A$145,COUNTA(OFFSET(S100,1,0,6))&gt;0),$R$11*$R$10,0)</f>
        <v>0</v>
      </c>
      <c r="U107" s="677" t="s">
        <v>165</v>
      </c>
      <c r="V107" s="677"/>
      <c r="W107" s="677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6" t="s">
        <v>171</v>
      </c>
      <c r="K108" s="676"/>
      <c r="L108" s="676"/>
      <c r="M108" s="676"/>
      <c r="N108" s="676"/>
      <c r="O108" s="676"/>
      <c r="P108" s="676"/>
      <c r="Q108" s="676"/>
      <c r="R108" s="77" t="s">
        <v>172</v>
      </c>
      <c r="S108" s="79">
        <f ca="1">IF(BDI.Opcao&lt;&gt;"Desonerado",0,IF(AND($J97&lt;&gt;$A$145,COUNTA(OFFSET(S100,1,0,6))&gt;0),4.5%,0%))</f>
        <v>0</v>
      </c>
      <c r="U108" s="677" t="s">
        <v>165</v>
      </c>
      <c r="V108" s="677"/>
      <c r="W108" s="677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6" t="s">
        <v>173</v>
      </c>
      <c r="K109" s="676"/>
      <c r="L109" s="676"/>
      <c r="M109" s="676"/>
      <c r="N109" s="676"/>
      <c r="O109" s="676"/>
      <c r="P109" s="676"/>
      <c r="Q109" s="676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80" t="s">
        <v>174</v>
      </c>
      <c r="K110" s="680"/>
      <c r="L110" s="680"/>
      <c r="M110" s="680"/>
      <c r="N110" s="680"/>
      <c r="O110" s="680"/>
      <c r="P110" s="680"/>
      <c r="Q110" s="680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81" t="e">
        <f ca="1">IF(U109&lt;&gt;"ok","Anexo: Relatório Técnico Circunstanciado justificando a adoção do percentual de cada parcela do BDI.","")</f>
        <v>#N/A</v>
      </c>
      <c r="L112" s="681"/>
      <c r="M112" s="681"/>
      <c r="N112" s="681"/>
      <c r="O112" s="681"/>
      <c r="P112" s="681"/>
      <c r="Q112" s="681"/>
      <c r="R112" s="681"/>
      <c r="S112" s="681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82" t="s">
        <v>177</v>
      </c>
      <c r="K114" s="682"/>
      <c r="L114" s="682"/>
      <c r="M114" s="682"/>
      <c r="N114" s="682"/>
      <c r="O114" s="682"/>
      <c r="P114" s="682"/>
      <c r="Q114" s="682"/>
      <c r="R114" s="682"/>
      <c r="S114" s="682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83" t="s">
        <v>178</v>
      </c>
      <c r="N115" s="689" t="str">
        <f>IF($J97=$A$146,"(1+K1+K2)*(1+K3)","(1+AC + S + R + G)*(1 + DF)*(1+L)")</f>
        <v>(1+AC + S + R + G)*(1 + DF)*(1+L)</v>
      </c>
      <c r="O115" s="689"/>
      <c r="P115" s="689"/>
      <c r="Q115" s="69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83"/>
      <c r="N116" s="678" t="s">
        <v>180</v>
      </c>
      <c r="O116" s="678"/>
      <c r="P116" s="678"/>
      <c r="Q116" s="69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118" s="679"/>
      <c r="L118" s="679"/>
      <c r="M118" s="679"/>
      <c r="N118" s="679"/>
      <c r="O118" s="679"/>
      <c r="P118" s="679"/>
      <c r="Q118" s="679"/>
      <c r="R118" s="679"/>
      <c r="S118" s="679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120" s="679"/>
      <c r="L120" s="679"/>
      <c r="M120" s="679"/>
      <c r="N120" s="679"/>
      <c r="O120" s="679"/>
      <c r="P120" s="679"/>
      <c r="Q120" s="679"/>
      <c r="R120" s="679"/>
      <c r="S120" s="679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91"/>
      <c r="K123" s="691"/>
      <c r="L123" s="691"/>
      <c r="M123" s="691"/>
      <c r="N123" s="691"/>
      <c r="O123" s="691"/>
      <c r="P123" s="691"/>
      <c r="Q123" s="691"/>
      <c r="R123" s="691"/>
      <c r="S123" s="691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85" t="str">
        <f>Import.Município</f>
        <v>CEU AZUL - PR</v>
      </c>
      <c r="K125" s="685"/>
      <c r="L125" s="685"/>
      <c r="M125" s="685"/>
      <c r="P125" s="686">
        <f>DADOS!$F$25</f>
        <v>45131</v>
      </c>
      <c r="Q125" s="686"/>
      <c r="R125" s="686"/>
      <c r="S125" s="686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87" t="s">
        <v>187</v>
      </c>
      <c r="K126" s="687"/>
      <c r="L126" s="687"/>
      <c r="M126" s="687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88"/>
      <c r="K128" s="688"/>
      <c r="L128" s="688"/>
      <c r="M128" s="688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84" t="s">
        <v>189</v>
      </c>
      <c r="K129" s="684"/>
      <c r="L129" s="684"/>
      <c r="M129" s="684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GIAN CARLOS BORTOLINI VALLI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PR-163755/D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39" type="noConversion"/>
  <conditionalFormatting sqref="J30:S30 J70:S70 J110:S110">
    <cfRule type="expression" dxfId="1178" priority="2" stopIfTrue="1">
      <formula>DESONERACAO="não"</formula>
    </cfRule>
  </conditionalFormatting>
  <conditionalFormatting sqref="U29:W29 U69:W69 U109:W109">
    <cfRule type="expression" dxfId="1177" priority="3" stopIfTrue="1">
      <formula>AND(U29&lt;&gt;"OK",U29&lt;&gt;"-",U29&lt;&gt;"")</formula>
    </cfRule>
    <cfRule type="cellIs" dxfId="1176" priority="4" stopIfTrue="1" operator="equal">
      <formula>"OK"</formula>
    </cfRule>
  </conditionalFormatting>
  <conditionalFormatting sqref="S29 S69 S109">
    <cfRule type="expression" dxfId="117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Normal="100" zoomScaleSheetLayoutView="90" workbookViewId="0">
      <pane xSplit="19" ySplit="15" topLeftCell="T224" activePane="bottomRight" state="frozen"/>
      <selection activeCell="L1" sqref="L1"/>
      <selection pane="topRight" activeCell="T1" sqref="T1"/>
      <selection pane="bottomLeft" activeCell="L16" sqref="L16"/>
      <selection pane="bottomRight" activeCell="R227" sqref="R227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66" t="s">
        <v>439</v>
      </c>
      <c r="P4" s="666"/>
      <c r="Q4" s="112" t="s">
        <v>440</v>
      </c>
      <c r="R4" s="112" t="s">
        <v>146</v>
      </c>
      <c r="S4" s="666" t="s">
        <v>201</v>
      </c>
      <c r="T4" s="666"/>
      <c r="U4" s="666"/>
      <c r="V4" s="666"/>
      <c r="W4" s="666"/>
      <c r="X4" s="666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0.24390000000000001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63">
        <f>Import.CR</f>
        <v>0</v>
      </c>
      <c r="P5" s="663"/>
      <c r="Q5" s="118">
        <f>Import.SICONV</f>
        <v>0</v>
      </c>
      <c r="R5" s="119" t="str">
        <f>Import.Proponente</f>
        <v>MUNICIPIO DE CÉU AZUL</v>
      </c>
      <c r="S5" s="663" t="str">
        <f>Import.Apelido</f>
        <v>OBRA DE MODERNIZAÇÃO DO CENTRO COMUNITARIO DE NOVA UNIÃO</v>
      </c>
      <c r="T5" s="663"/>
      <c r="U5" s="663"/>
      <c r="V5" s="663"/>
      <c r="W5" s="663"/>
      <c r="X5" s="663"/>
      <c r="Y5" s="120"/>
      <c r="Z5" s="120"/>
      <c r="AA5" s="120"/>
      <c r="AB5" s="120"/>
      <c r="AC5" s="105"/>
      <c r="AE5" s="702" t="s">
        <v>199</v>
      </c>
      <c r="AF5" s="702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66" t="s">
        <v>203</v>
      </c>
      <c r="P7" s="666"/>
      <c r="Q7" s="112" t="s">
        <v>204</v>
      </c>
      <c r="R7" s="112" t="str">
        <f>IF(TIPOORCAMENTO="Licitado","NOME DA EMPRESA","DESCRIÇÃO DO LOTE")</f>
        <v>DESCRIÇÃO DO LOTE</v>
      </c>
      <c r="S7" s="703" t="str">
        <f>IF(TIPOORCAMENTO="Licitado","REGIME DE EXECUÇÃO","MUNICÍPIO / UF")</f>
        <v>MUNICÍPIO / UF</v>
      </c>
      <c r="T7" s="703"/>
      <c r="U7" s="703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706" t="s">
        <v>206</v>
      </c>
      <c r="AL7" s="704" t="s">
        <v>207</v>
      </c>
    </row>
    <row r="8" spans="1:40" ht="12.75" customHeight="1" x14ac:dyDescent="0.2">
      <c r="A8" s="115"/>
      <c r="B8" s="115"/>
      <c r="C8" s="115"/>
      <c r="D8" s="105"/>
      <c r="F8" s="700" t="str">
        <f ca="1">IF(LEN(INFO("release"))&gt;5,"'Referência "&amp;Excel_BuiltIn_Database&amp;".xls'#Banco.$a5:$a$65536","'[Referência "&amp;Excel_BuiltIn_Database&amp;".xls]Banco'!$a5:$a$65536")</f>
        <v>'[Referência 05-2023.xls]Banco'!$a5:$a$65536</v>
      </c>
      <c r="G8" s="700"/>
      <c r="H8" s="700"/>
      <c r="I8" s="700"/>
      <c r="J8" s="700"/>
      <c r="K8" s="700"/>
      <c r="L8" s="692" t="s">
        <v>208</v>
      </c>
      <c r="M8" s="105"/>
      <c r="N8" s="105"/>
      <c r="O8" s="663" t="str">
        <f ca="1">IF(ISERROR(INDIRECT($F$9)),"(N/D: 'Referência "&amp;Excel_BuiltIn_Database&amp;".xls)",INDIRECT($F$9))</f>
        <v>(N/D: 'Referência 05-2023.xls)</v>
      </c>
      <c r="P8" s="663"/>
      <c r="Q8" s="129" t="str">
        <f ca="1">TEXT(Import.DataBase,"mm-aa")&amp;IF(DESONERACAO="Sim"," (DES.)"," (N DES.)")</f>
        <v>05-23 (N DES.)</v>
      </c>
      <c r="R8" s="119">
        <f>IF(TIPOORCAMENTO="Licitado",Import.empresa,Import.DescLote)</f>
        <v>0</v>
      </c>
      <c r="S8" s="701" t="str">
        <f>IF(TIPOORCAMENTO="Licitado",Import.RegimeExecução,Import.Município)</f>
        <v>CEU AZUL - PR</v>
      </c>
      <c r="T8" s="701"/>
      <c r="U8" s="701"/>
      <c r="V8" s="130" t="str">
        <f ca="1">IF(TIPOORCAMENTO="Licitado","",TEXT(F5,"0,00%"))</f>
        <v>24,39%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92" t="s">
        <v>209</v>
      </c>
      <c r="Z8" s="692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706"/>
      <c r="AL8" s="704"/>
      <c r="AN8" s="105"/>
    </row>
    <row r="9" spans="1:40" ht="12.75" customHeight="1" x14ac:dyDescent="0.2">
      <c r="A9" s="105"/>
      <c r="B9" s="105"/>
      <c r="C9" s="105"/>
      <c r="D9" s="105"/>
      <c r="F9" s="700" t="str">
        <f ca="1">IF(LEN(INFO("release"))&gt;5,"'Referência "&amp;Excel_BuiltIn_Database&amp;".xls'#Banco.$d$3","'[Referência "&amp;Excel_BuiltIn_Database&amp;".xls]Banco'!$d$3")</f>
        <v>'[Referência 05-2023.xls]Banco'!$d$3</v>
      </c>
      <c r="G9" s="700"/>
      <c r="H9" s="700"/>
      <c r="I9" s="700"/>
      <c r="J9" s="700"/>
      <c r="K9" s="700"/>
      <c r="L9" s="692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92"/>
      <c r="Z9" s="692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706"/>
      <c r="AL9" s="704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92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92"/>
      <c r="Z10" s="692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706"/>
      <c r="AL10" s="704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92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92"/>
      <c r="Z11" s="692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706"/>
      <c r="AL11" s="704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92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92"/>
      <c r="Z12" s="692"/>
      <c r="AA12" s="705" t="s">
        <v>215</v>
      </c>
      <c r="AB12" s="705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(abra o arquivo 'Referência 05-2023.xls)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(abra o arquivo 'Referência 05-2023.xls)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0.24390000000000001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694">
        <f>Import.DescLote</f>
        <v>0</v>
      </c>
      <c r="P15" s="694"/>
      <c r="Q15" s="694"/>
      <c r="R15" s="694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599993.0399999998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599993.0399999998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599993.0399999998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">
        <v>460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599993.04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599993.0399999998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(abra o arquivo 'Referência 05-2023.xls)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0.24390000000000001</v>
      </c>
      <c r="AJ16" s="553"/>
      <c r="AL16" s="574"/>
      <c r="AM16" s="431">
        <f t="shared" ca="1" si="0"/>
        <v>599993.04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28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>
        <f ca="1">IF(OR($C17="S",$C17=0),0,MATCH(OFFSET($D17,0,$C17)+IF($C17&lt;&gt;1,1,COUNTIF(QCI!$A$13:$A$24,ORÇAMENTO!E17)),OFFSET($D17,1,$C17,ROW($C$266)-ROW($C17)),0))</f>
        <v>28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">
        <v>513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24603.99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24603.99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(abra o arquivo 'Referência 05-2023.xls)</v>
      </c>
      <c r="AG17" s="550">
        <f t="shared" ca="1" si="21"/>
        <v>0</v>
      </c>
      <c r="AH17" s="551">
        <f t="shared" ca="1" si="22"/>
        <v>0.24390000000000001</v>
      </c>
      <c r="AJ17" s="553"/>
      <c r="AL17" s="574"/>
      <c r="AM17" s="431">
        <f t="shared" ca="1" si="0"/>
        <v>24603.99</v>
      </c>
      <c r="AN17" s="617">
        <f t="shared" ca="1" si="23"/>
        <v>0</v>
      </c>
    </row>
    <row r="18" spans="1:40" ht="38.2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450</v>
      </c>
      <c r="Q18" s="149" t="s">
        <v>446</v>
      </c>
      <c r="R18" s="150" t="str">
        <f t="shared" ref="R18:R79" ca="1" si="24">IF($C18="S",REFERENCIA.Descricao,"(digite a descrição aqui)")</f>
        <v>(abra o arquivo 'Referência 05-2023.xls)</v>
      </c>
      <c r="S18" s="151" t="str">
        <f t="shared" ca="1" si="13"/>
        <v>-</v>
      </c>
      <c r="T18" s="152">
        <f ca="1">OFFSET(CÁLCULO!H$15,ROW($T18)-ROW(T$15),0)</f>
        <v>2.88</v>
      </c>
      <c r="U18" s="153">
        <v>250</v>
      </c>
      <c r="V18" s="154" t="s">
        <v>155</v>
      </c>
      <c r="W18" s="152">
        <f t="shared" ca="1" si="14"/>
        <v>310.98</v>
      </c>
      <c r="X18" s="155">
        <f t="shared" ca="1" si="15"/>
        <v>895.62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895.62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SINAPI-I 4813</v>
      </c>
      <c r="AF18" s="160" t="str">
        <f t="shared" ca="1" si="20"/>
        <v>(abra o arquivo 'Referência 05-2023.xls)</v>
      </c>
      <c r="AG18" s="550">
        <f t="shared" ca="1" si="21"/>
        <v>0</v>
      </c>
      <c r="AH18" s="551">
        <f t="shared" ca="1" si="22"/>
        <v>0.24390000000000001</v>
      </c>
      <c r="AJ18" s="553">
        <v>2.88</v>
      </c>
      <c r="AL18" s="574"/>
      <c r="AM18" s="431">
        <f t="shared" ca="1" si="0"/>
        <v>895.62</v>
      </c>
      <c r="AN18" s="617">
        <f t="shared" ca="1" si="23"/>
        <v>310.98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246</v>
      </c>
      <c r="Q19" s="149" t="s">
        <v>451</v>
      </c>
      <c r="R19" s="150" t="str">
        <f t="shared" ca="1" si="24"/>
        <v>(abra o arquivo 'Referência 05-2023.xls)</v>
      </c>
      <c r="S19" s="151" t="str">
        <f t="shared" ca="1" si="13"/>
        <v>-</v>
      </c>
      <c r="T19" s="152">
        <f ca="1">OFFSET(CÁLCULO!H$15,ROW($T19)-ROW(T$15),0)</f>
        <v>42</v>
      </c>
      <c r="U19" s="153">
        <v>65.709999999999994</v>
      </c>
      <c r="V19" s="154" t="s">
        <v>155</v>
      </c>
      <c r="W19" s="152">
        <f t="shared" ca="1" si="14"/>
        <v>81.739999999999995</v>
      </c>
      <c r="X19" s="155">
        <f t="shared" ca="1" si="15"/>
        <v>3433.08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3433.08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SINAPI 97622</v>
      </c>
      <c r="AF19" s="160" t="str">
        <f t="shared" ca="1" si="20"/>
        <v>(abra o arquivo 'Referência 05-2023.xls)</v>
      </c>
      <c r="AG19" s="550">
        <f t="shared" ca="1" si="21"/>
        <v>0</v>
      </c>
      <c r="AH19" s="551">
        <f t="shared" ca="1" si="22"/>
        <v>0.24390000000000001</v>
      </c>
      <c r="AJ19" s="553">
        <v>42</v>
      </c>
      <c r="AL19" s="574"/>
      <c r="AM19" s="431">
        <f t="shared" ca="1" si="0"/>
        <v>3433.08</v>
      </c>
      <c r="AN19" s="617">
        <f t="shared" ca="1" si="23"/>
        <v>81.739999999999995</v>
      </c>
    </row>
    <row r="20" spans="1:40" ht="25.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>F</v>
      </c>
      <c r="M20" s="145" t="s">
        <v>198</v>
      </c>
      <c r="N20" s="146" t="str">
        <f t="shared" ca="1" si="11"/>
        <v>Serviço</v>
      </c>
      <c r="O20" s="147" t="str">
        <f t="shared" ca="1" si="12"/>
        <v>1.1.3.</v>
      </c>
      <c r="P20" s="148" t="s">
        <v>246</v>
      </c>
      <c r="Q20" s="149" t="s">
        <v>452</v>
      </c>
      <c r="R20" s="150" t="str">
        <f t="shared" ca="1" si="24"/>
        <v>(abra o arquivo 'Referência 05-2023.xls)</v>
      </c>
      <c r="S20" s="151" t="str">
        <f t="shared" ca="1" si="13"/>
        <v>-</v>
      </c>
      <c r="T20" s="152">
        <f ca="1">OFFSET(CÁLCULO!H$15,ROW($T20)-ROW(T$15),0)</f>
        <v>95</v>
      </c>
      <c r="U20" s="153">
        <v>4</v>
      </c>
      <c r="V20" s="154" t="s">
        <v>155</v>
      </c>
      <c r="W20" s="152">
        <f t="shared" ca="1" si="14"/>
        <v>4.9800000000000004</v>
      </c>
      <c r="X20" s="155">
        <f t="shared" ca="1" si="15"/>
        <v>473.1</v>
      </c>
      <c r="Y20" s="156" t="s">
        <v>244</v>
      </c>
      <c r="Z20" t="str">
        <f t="shared" ca="1" si="16"/>
        <v>RA</v>
      </c>
      <c r="AA20" s="157">
        <f ca="1">IF($C20="S",IF($Z20="CP",$X20,IF($Z20="RA",(($X20)*QCI!$AA$3),0)),SomaAgrup)</f>
        <v>473.1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str">
        <f t="shared" ca="1" si="19"/>
        <v>SINAPI 97647</v>
      </c>
      <c r="AF20" s="160" t="str">
        <f t="shared" ca="1" si="20"/>
        <v>(abra o arquivo 'Referência 05-2023.xls)</v>
      </c>
      <c r="AG20" s="550">
        <f t="shared" ca="1" si="21"/>
        <v>0</v>
      </c>
      <c r="AH20" s="551">
        <f t="shared" ca="1" si="22"/>
        <v>0.24390000000000001</v>
      </c>
      <c r="AJ20" s="553">
        <v>95</v>
      </c>
      <c r="AL20" s="574"/>
      <c r="AM20" s="431">
        <f t="shared" ca="1" si="0"/>
        <v>473.1</v>
      </c>
      <c r="AN20" s="617">
        <f t="shared" ca="1" si="23"/>
        <v>4.9800000000000004</v>
      </c>
    </row>
    <row r="21" spans="1:40" ht="25.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4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>F</v>
      </c>
      <c r="M21" s="145" t="s">
        <v>198</v>
      </c>
      <c r="N21" s="146" t="str">
        <f t="shared" ca="1" si="11"/>
        <v>Serviço</v>
      </c>
      <c r="O21" s="147" t="str">
        <f t="shared" ca="1" si="12"/>
        <v>1.1.4.</v>
      </c>
      <c r="P21" s="148" t="s">
        <v>246</v>
      </c>
      <c r="Q21" s="149" t="s">
        <v>453</v>
      </c>
      <c r="R21" s="150" t="str">
        <f t="shared" ca="1" si="24"/>
        <v>(abra o arquivo 'Referência 05-2023.xls)</v>
      </c>
      <c r="S21" s="151" t="str">
        <f t="shared" ca="1" si="13"/>
        <v>-</v>
      </c>
      <c r="T21" s="152">
        <f ca="1">OFFSET(CÁLCULO!H$15,ROW($T21)-ROW(T$15),0)</f>
        <v>22.2</v>
      </c>
      <c r="U21" s="153">
        <v>38.21</v>
      </c>
      <c r="V21" s="154" t="s">
        <v>155</v>
      </c>
      <c r="W21" s="152">
        <f t="shared" ca="1" si="14"/>
        <v>47.53</v>
      </c>
      <c r="X21" s="155">
        <f t="shared" ca="1" si="15"/>
        <v>1055.17</v>
      </c>
      <c r="Y21" s="156" t="s">
        <v>244</v>
      </c>
      <c r="Z21" t="str">
        <f t="shared" ca="1" si="16"/>
        <v>RA</v>
      </c>
      <c r="AA21" s="157">
        <f ca="1">IF($C21="S",IF($Z21="CP",$X21,IF($Z21="RA",(($X21)*QCI!$AA$3),0)),SomaAgrup)</f>
        <v>1055.17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str">
        <f t="shared" ca="1" si="19"/>
        <v>SINAPI 97645</v>
      </c>
      <c r="AF21" s="160" t="str">
        <f t="shared" ca="1" si="20"/>
        <v>(abra o arquivo 'Referência 05-2023.xls)</v>
      </c>
      <c r="AG21" s="550">
        <f t="shared" ca="1" si="21"/>
        <v>0</v>
      </c>
      <c r="AH21" s="551">
        <f t="shared" ca="1" si="22"/>
        <v>0.24390000000000001</v>
      </c>
      <c r="AJ21" s="553">
        <v>22.2</v>
      </c>
      <c r="AL21" s="574"/>
      <c r="AM21" s="431">
        <f t="shared" ca="1" si="0"/>
        <v>1055.17</v>
      </c>
      <c r="AN21" s="617">
        <f t="shared" ca="1" si="23"/>
        <v>47.53</v>
      </c>
    </row>
    <row r="22" spans="1:40" ht="25.5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5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4" t="str">
        <f t="shared" ca="1" si="10"/>
        <v>F</v>
      </c>
      <c r="M22" s="145" t="s">
        <v>198</v>
      </c>
      <c r="N22" s="146" t="str">
        <f t="shared" ca="1" si="11"/>
        <v>Serviço</v>
      </c>
      <c r="O22" s="147" t="str">
        <f t="shared" ca="1" si="12"/>
        <v>1.1.5.</v>
      </c>
      <c r="P22" s="148" t="s">
        <v>246</v>
      </c>
      <c r="Q22" s="149" t="s">
        <v>454</v>
      </c>
      <c r="R22" s="150" t="str">
        <f ca="1">IF($C22="S",REFERENCIA.Descricao,"(digite a descrição aqui)")</f>
        <v>(abra o arquivo 'Referência 05-2023.xls)</v>
      </c>
      <c r="S22" s="151" t="str">
        <f t="shared" ca="1" si="13"/>
        <v>-</v>
      </c>
      <c r="T22" s="152">
        <f ca="1">OFFSET(CÁLCULO!H$15,ROW($T22)-ROW(T$15),0)</f>
        <v>25.77</v>
      </c>
      <c r="U22" s="153">
        <v>10.76</v>
      </c>
      <c r="V22" s="154" t="s">
        <v>155</v>
      </c>
      <c r="W22" s="152">
        <f t="shared" ca="1" si="14"/>
        <v>13.38</v>
      </c>
      <c r="X22" s="155">
        <f t="shared" ca="1" si="15"/>
        <v>344.8</v>
      </c>
      <c r="Y22" s="156" t="s">
        <v>244</v>
      </c>
      <c r="Z22" t="str">
        <f t="shared" ca="1" si="16"/>
        <v>RA</v>
      </c>
      <c r="AA22" s="157">
        <f ca="1">IF($C22="S",IF($Z22="CP",$X22,IF($Z22="RA",(($X22)*QCI!$AA$3),0)),SomaAgrup)</f>
        <v>344.8</v>
      </c>
      <c r="AB22" s="158">
        <f t="shared" ca="1" si="17"/>
        <v>0</v>
      </c>
      <c r="AC22" s="159" t="str">
        <f t="shared" ca="1" si="18"/>
        <v/>
      </c>
      <c r="AD22" s="105" t="str">
        <f ca="1">IF(C22&lt;=CRONO.NivelExibicao,MAX($AD$15:OFFSET(AD22,-1,0))+IF($C22&lt;&gt;1,1,MAX(1,COUNTIF(QCI!$A$13:$A$24,OFFSET($E22,-1,0)))),"")</f>
        <v/>
      </c>
      <c r="AE22" s="115" t="str">
        <f t="shared" ca="1" si="19"/>
        <v>SINAPI 97644</v>
      </c>
      <c r="AF22" s="160" t="str">
        <f t="shared" ca="1" si="20"/>
        <v>(abra o arquivo 'Referência 05-2023.xls)</v>
      </c>
      <c r="AG22" s="550">
        <f t="shared" ca="1" si="21"/>
        <v>0</v>
      </c>
      <c r="AH22" s="551">
        <f t="shared" ca="1" si="22"/>
        <v>0.24390000000000001</v>
      </c>
      <c r="AJ22" s="553">
        <v>25.77</v>
      </c>
      <c r="AL22" s="574"/>
      <c r="AM22" s="431">
        <f t="shared" ca="1" si="0"/>
        <v>344.8</v>
      </c>
      <c r="AN22" s="617">
        <f t="shared" ca="1" si="23"/>
        <v>13.38</v>
      </c>
    </row>
    <row r="23" spans="1:40" ht="25.5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6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>F</v>
      </c>
      <c r="M23" s="145" t="s">
        <v>198</v>
      </c>
      <c r="N23" s="146" t="str">
        <f t="shared" ca="1" si="11"/>
        <v>Serviço</v>
      </c>
      <c r="O23" s="147" t="str">
        <f t="shared" ca="1" si="12"/>
        <v>1.1.6.</v>
      </c>
      <c r="P23" s="148" t="s">
        <v>246</v>
      </c>
      <c r="Q23" s="149" t="s">
        <v>455</v>
      </c>
      <c r="R23" s="150" t="str">
        <f t="shared" ca="1" si="24"/>
        <v>(abra o arquivo 'Referência 05-2023.xls)</v>
      </c>
      <c r="S23" s="151" t="str">
        <f t="shared" ca="1" si="13"/>
        <v>-</v>
      </c>
      <c r="T23" s="152">
        <f ca="1">OFFSET(CÁLCULO!H$15,ROW($T23)-ROW(T$15),0)</f>
        <v>95</v>
      </c>
      <c r="U23" s="153">
        <v>8.61</v>
      </c>
      <c r="V23" s="154" t="s">
        <v>155</v>
      </c>
      <c r="W23" s="152">
        <f t="shared" ca="1" si="14"/>
        <v>10.71</v>
      </c>
      <c r="X23" s="155">
        <f t="shared" ca="1" si="15"/>
        <v>1017.45</v>
      </c>
      <c r="Y23" s="156" t="s">
        <v>244</v>
      </c>
      <c r="Z23" t="str">
        <f t="shared" ca="1" si="16"/>
        <v>RA</v>
      </c>
      <c r="AA23" s="157">
        <f ca="1">IF($C23="S",IF($Z23="CP",$X23,IF($Z23="RA",(($X23)*QCI!$AA$3),0)),SomaAgrup)</f>
        <v>1017.45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str">
        <f t="shared" ca="1" si="19"/>
        <v>SINAPI 97650</v>
      </c>
      <c r="AF23" s="160" t="str">
        <f t="shared" ca="1" si="20"/>
        <v>(abra o arquivo 'Referência 05-2023.xls)</v>
      </c>
      <c r="AG23" s="550">
        <f t="shared" ca="1" si="21"/>
        <v>0</v>
      </c>
      <c r="AH23" s="551">
        <f t="shared" ca="1" si="22"/>
        <v>0.24390000000000001</v>
      </c>
      <c r="AJ23" s="553">
        <v>95</v>
      </c>
      <c r="AL23" s="574"/>
      <c r="AM23" s="431">
        <f t="shared" ca="1" si="0"/>
        <v>1017.45</v>
      </c>
      <c r="AN23" s="617">
        <f t="shared" ca="1" si="23"/>
        <v>10.71</v>
      </c>
    </row>
    <row r="24" spans="1:40" ht="25.5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7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1.1.7.</v>
      </c>
      <c r="P24" s="148" t="s">
        <v>246</v>
      </c>
      <c r="Q24" s="149" t="s">
        <v>456</v>
      </c>
      <c r="R24" s="150" t="str">
        <f t="shared" ca="1" si="24"/>
        <v>(abra o arquivo 'Referência 05-2023.xls)</v>
      </c>
      <c r="S24" s="151" t="str">
        <f t="shared" ca="1" si="13"/>
        <v>-</v>
      </c>
      <c r="T24" s="152">
        <f ca="1">OFFSET(CÁLCULO!H$15,ROW($T24)-ROW(T$15),0)</f>
        <v>14</v>
      </c>
      <c r="U24" s="153">
        <v>14.23</v>
      </c>
      <c r="V24" s="154" t="s">
        <v>155</v>
      </c>
      <c r="W24" s="152">
        <f t="shared" ca="1" si="14"/>
        <v>17.7</v>
      </c>
      <c r="X24" s="155">
        <f t="shared" ca="1" si="15"/>
        <v>247.8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247.8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SINAPI 97663</v>
      </c>
      <c r="AF24" s="160" t="str">
        <f t="shared" ca="1" si="20"/>
        <v>(abra o arquivo 'Referência 05-2023.xls)</v>
      </c>
      <c r="AG24" s="550">
        <f t="shared" ca="1" si="21"/>
        <v>0</v>
      </c>
      <c r="AH24" s="551">
        <f t="shared" ca="1" si="22"/>
        <v>0.24390000000000001</v>
      </c>
      <c r="AJ24" s="553">
        <v>14</v>
      </c>
      <c r="AL24" s="574"/>
      <c r="AM24" s="431">
        <f t="shared" ca="1" si="0"/>
        <v>247.8</v>
      </c>
      <c r="AN24" s="617">
        <f t="shared" ca="1" si="23"/>
        <v>17.7</v>
      </c>
    </row>
    <row r="25" spans="1:40" ht="25.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8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1.1.8.</v>
      </c>
      <c r="P25" s="148" t="s">
        <v>246</v>
      </c>
      <c r="Q25" s="149" t="s">
        <v>457</v>
      </c>
      <c r="R25" s="150" t="str">
        <f t="shared" ca="1" si="24"/>
        <v>(abra o arquivo 'Referência 05-2023.xls)</v>
      </c>
      <c r="S25" s="151" t="str">
        <f t="shared" ca="1" si="13"/>
        <v>-</v>
      </c>
      <c r="T25" s="152">
        <f ca="1">OFFSET(CÁLCULO!H$15,ROW($T25)-ROW(T$15),0)</f>
        <v>150</v>
      </c>
      <c r="U25" s="153">
        <v>0.78</v>
      </c>
      <c r="V25" s="154" t="s">
        <v>155</v>
      </c>
      <c r="W25" s="152">
        <f t="shared" ca="1" si="14"/>
        <v>0.97</v>
      </c>
      <c r="X25" s="155">
        <f t="shared" ca="1" si="15"/>
        <v>145.5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145.5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SINAPI 97661</v>
      </c>
      <c r="AF25" s="160" t="str">
        <f t="shared" ca="1" si="20"/>
        <v>(abra o arquivo 'Referência 05-2023.xls)</v>
      </c>
      <c r="AG25" s="550">
        <f t="shared" ca="1" si="21"/>
        <v>0</v>
      </c>
      <c r="AH25" s="551">
        <f t="shared" ca="1" si="22"/>
        <v>0.24390000000000001</v>
      </c>
      <c r="AJ25" s="553">
        <v>150</v>
      </c>
      <c r="AL25" s="574"/>
      <c r="AM25" s="431">
        <f t="shared" ca="1" si="0"/>
        <v>145.5</v>
      </c>
      <c r="AN25" s="617">
        <f t="shared" ca="1" si="23"/>
        <v>0.97</v>
      </c>
    </row>
    <row r="26" spans="1:40" ht="25.5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9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1.1.9.</v>
      </c>
      <c r="P26" s="148" t="s">
        <v>246</v>
      </c>
      <c r="Q26" s="149" t="s">
        <v>458</v>
      </c>
      <c r="R26" s="150" t="str">
        <f t="shared" ca="1" si="24"/>
        <v>(abra o arquivo 'Referência 05-2023.xls)</v>
      </c>
      <c r="S26" s="151" t="str">
        <f t="shared" ca="1" si="13"/>
        <v>-</v>
      </c>
      <c r="T26" s="152">
        <f ca="1">OFFSET(CÁLCULO!H$15,ROW($T26)-ROW(T$15),0)</f>
        <v>40</v>
      </c>
      <c r="U26" s="153">
        <v>0.56999999999999995</v>
      </c>
      <c r="V26" s="154" t="s">
        <v>155</v>
      </c>
      <c r="W26" s="152">
        <f t="shared" ca="1" si="14"/>
        <v>0.71</v>
      </c>
      <c r="X26" s="155">
        <f t="shared" ca="1" si="15"/>
        <v>28.4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28.4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SINAPI 97662</v>
      </c>
      <c r="AF26" s="160" t="str">
        <f t="shared" ca="1" si="20"/>
        <v>(abra o arquivo 'Referência 05-2023.xls)</v>
      </c>
      <c r="AG26" s="550">
        <f t="shared" ca="1" si="21"/>
        <v>0</v>
      </c>
      <c r="AH26" s="551">
        <f t="shared" ca="1" si="22"/>
        <v>0.24390000000000001</v>
      </c>
      <c r="AJ26" s="553">
        <v>40</v>
      </c>
      <c r="AL26" s="574"/>
      <c r="AM26" s="431">
        <f t="shared" ca="1" si="0"/>
        <v>28.4</v>
      </c>
      <c r="AN26" s="617">
        <f t="shared" ca="1" si="23"/>
        <v>0.71</v>
      </c>
    </row>
    <row r="27" spans="1:40" ht="25.5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10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>F</v>
      </c>
      <c r="M27" s="145" t="s">
        <v>198</v>
      </c>
      <c r="N27" s="146" t="str">
        <f t="shared" ca="1" si="11"/>
        <v>Serviço</v>
      </c>
      <c r="O27" s="147" t="str">
        <f t="shared" ca="1" si="12"/>
        <v>1.1.10.</v>
      </c>
      <c r="P27" s="148" t="s">
        <v>246</v>
      </c>
      <c r="Q27" s="149" t="s">
        <v>459</v>
      </c>
      <c r="R27" s="150" t="str">
        <f t="shared" ca="1" si="24"/>
        <v>(abra o arquivo 'Referência 05-2023.xls)</v>
      </c>
      <c r="S27" s="151" t="str">
        <f t="shared" ca="1" si="13"/>
        <v>-</v>
      </c>
      <c r="T27" s="152">
        <f ca="1">OFFSET(CÁLCULO!H$15,ROW($T27)-ROW(T$15),0)</f>
        <v>95</v>
      </c>
      <c r="U27" s="153">
        <v>2.0299999999999998</v>
      </c>
      <c r="V27" s="154" t="s">
        <v>155</v>
      </c>
      <c r="W27" s="152">
        <f t="shared" ca="1" si="14"/>
        <v>2.5299999999999998</v>
      </c>
      <c r="X27" s="155">
        <f t="shared" ca="1" si="15"/>
        <v>240.35</v>
      </c>
      <c r="Y27" s="156" t="s">
        <v>244</v>
      </c>
      <c r="Z27" t="str">
        <f t="shared" ca="1" si="16"/>
        <v>RA</v>
      </c>
      <c r="AA27" s="157">
        <f ca="1">IF($C27="S",IF($Z27="CP",$X27,IF($Z27="RA",(($X27)*QCI!$AA$3),0)),SomaAgrup)</f>
        <v>240.35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str">
        <f t="shared" ca="1" si="19"/>
        <v>SINAPI 97640</v>
      </c>
      <c r="AF27" s="160" t="str">
        <f t="shared" ca="1" si="20"/>
        <v>(abra o arquivo 'Referência 05-2023.xls)</v>
      </c>
      <c r="AG27" s="550">
        <f t="shared" ca="1" si="21"/>
        <v>0</v>
      </c>
      <c r="AH27" s="551">
        <f t="shared" ca="1" si="22"/>
        <v>0.24390000000000001</v>
      </c>
      <c r="AJ27" s="553">
        <v>95</v>
      </c>
      <c r="AL27" s="574"/>
      <c r="AM27" s="431">
        <f t="shared" ca="1" si="0"/>
        <v>240.35</v>
      </c>
      <c r="AN27" s="617">
        <f t="shared" ca="1" si="23"/>
        <v>2.5299999999999998</v>
      </c>
    </row>
    <row r="28" spans="1:40" ht="38.25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11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>F</v>
      </c>
      <c r="M28" s="145" t="s">
        <v>198</v>
      </c>
      <c r="N28" s="146" t="str">
        <f t="shared" ca="1" si="11"/>
        <v>Serviço</v>
      </c>
      <c r="O28" s="147" t="str">
        <f t="shared" ca="1" si="12"/>
        <v>1.1.11.</v>
      </c>
      <c r="P28" s="148" t="s">
        <v>246</v>
      </c>
      <c r="Q28" s="149" t="s">
        <v>536</v>
      </c>
      <c r="R28" s="150" t="str">
        <f ca="1">IF($C28="S",REFERENCIA.Descricao,"(digite a descrição aqui)")</f>
        <v>(abra o arquivo 'Referência 05-2023.xls)</v>
      </c>
      <c r="S28" s="151" t="str">
        <f t="shared" ca="1" si="13"/>
        <v>-</v>
      </c>
      <c r="T28" s="152">
        <f ca="1">OFFSET(CÁLCULO!H$15,ROW($T28)-ROW(T$15),0)</f>
        <v>72</v>
      </c>
      <c r="U28" s="153">
        <v>69.22</v>
      </c>
      <c r="V28" s="154" t="s">
        <v>155</v>
      </c>
      <c r="W28" s="152">
        <f t="shared" ca="1" si="14"/>
        <v>86.1</v>
      </c>
      <c r="X28" s="155">
        <f t="shared" ca="1" si="15"/>
        <v>6199.2</v>
      </c>
      <c r="Y28" s="156" t="s">
        <v>244</v>
      </c>
      <c r="Z28" t="str">
        <f t="shared" ca="1" si="16"/>
        <v>RA</v>
      </c>
      <c r="AA28" s="157">
        <f ca="1">IF($C28="S",IF($Z28="CP",$X28,IF($Z28="RA",(($X28)*QCI!$AA$3),0)),SomaAgrup)</f>
        <v>6199.2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str">
        <f t="shared" ca="1" si="19"/>
        <v>SINAPI 99059</v>
      </c>
      <c r="AF28" s="160" t="str">
        <f t="shared" ca="1" si="20"/>
        <v>(abra o arquivo 'Referência 05-2023.xls)</v>
      </c>
      <c r="AG28" s="550">
        <f t="shared" ca="1" si="21"/>
        <v>0</v>
      </c>
      <c r="AH28" s="551">
        <f t="shared" ca="1" si="22"/>
        <v>0.24390000000000001</v>
      </c>
      <c r="AJ28" s="553">
        <v>72</v>
      </c>
      <c r="AL28" s="574"/>
      <c r="AM28" s="431">
        <f t="shared" ca="1" si="0"/>
        <v>6199.2</v>
      </c>
      <c r="AN28" s="617">
        <f t="shared" ca="1" si="23"/>
        <v>86.1</v>
      </c>
    </row>
    <row r="29" spans="1:40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12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>F</v>
      </c>
      <c r="M29" s="145" t="s">
        <v>198</v>
      </c>
      <c r="N29" s="146" t="str">
        <f t="shared" ca="1" si="11"/>
        <v>Serviço</v>
      </c>
      <c r="O29" s="147" t="str">
        <f t="shared" ca="1" si="12"/>
        <v>1.1.12.</v>
      </c>
      <c r="P29" s="148" t="s">
        <v>246</v>
      </c>
      <c r="Q29" s="149" t="s">
        <v>544</v>
      </c>
      <c r="R29" s="150" t="str">
        <f t="shared" ca="1" si="24"/>
        <v>(abra o arquivo 'Referência 05-2023.xls)</v>
      </c>
      <c r="S29" s="151" t="str">
        <f t="shared" ca="1" si="13"/>
        <v>-</v>
      </c>
      <c r="T29" s="152">
        <f ca="1">OFFSET(CÁLCULO!H$15,ROW($T29)-ROW(T$15),0)</f>
        <v>48</v>
      </c>
      <c r="U29" s="153">
        <v>176.25</v>
      </c>
      <c r="V29" s="154" t="s">
        <v>155</v>
      </c>
      <c r="W29" s="152">
        <f t="shared" ca="1" si="14"/>
        <v>219.24</v>
      </c>
      <c r="X29" s="155">
        <f t="shared" ca="1" si="15"/>
        <v>10523.52</v>
      </c>
      <c r="Y29" s="156" t="s">
        <v>244</v>
      </c>
      <c r="Z29" t="str">
        <f t="shared" ca="1" si="16"/>
        <v>RA</v>
      </c>
      <c r="AA29" s="157">
        <f ca="1">IF($C29="S",IF($Z29="CP",$X29,IF($Z29="RA",(($X29)*QCI!$AA$3),0)),SomaAgrup)</f>
        <v>10523.52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str">
        <f t="shared" ca="1" si="19"/>
        <v>SINAPI 98458</v>
      </c>
      <c r="AF29" s="160" t="str">
        <f t="shared" ca="1" si="20"/>
        <v>(abra o arquivo 'Referência 05-2023.xls)</v>
      </c>
      <c r="AG29" s="550">
        <f t="shared" ca="1" si="21"/>
        <v>0</v>
      </c>
      <c r="AH29" s="551">
        <f t="shared" ca="1" si="22"/>
        <v>0.24390000000000001</v>
      </c>
      <c r="AJ29" s="553">
        <v>48</v>
      </c>
      <c r="AL29" s="574"/>
      <c r="AM29" s="431">
        <f t="shared" ca="1" si="0"/>
        <v>10523.52</v>
      </c>
      <c r="AN29" s="617">
        <f t="shared" ca="1" si="23"/>
        <v>219.24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12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/>
      </c>
      <c r="M30" s="145" t="s">
        <v>198</v>
      </c>
      <c r="N30" s="146" t="str">
        <f t="shared" ca="1" si="11"/>
        <v>Serviço</v>
      </c>
      <c r="O30" s="147" t="str">
        <f t="shared" ca="1" si="12"/>
        <v>-</v>
      </c>
      <c r="P30" s="148" t="s">
        <v>246</v>
      </c>
      <c r="Q30" s="149"/>
      <c r="R30" s="150" t="str">
        <f t="shared" ca="1" si="24"/>
        <v>(abra o arquivo 'Referência 05-2023.xls)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0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0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b">
        <f t="shared" ca="1" si="19"/>
        <v>0</v>
      </c>
      <c r="AF30" s="160" t="str">
        <f t="shared" ca="1" si="20"/>
        <v>(abra o arquivo 'Referência 05-2023.xls)</v>
      </c>
      <c r="AG30" s="550">
        <f t="shared" ca="1" si="21"/>
        <v>0</v>
      </c>
      <c r="AH30" s="551">
        <f t="shared" ca="1" si="22"/>
        <v>0.24390000000000001</v>
      </c>
      <c r="AJ30" s="553"/>
      <c r="AL30" s="574"/>
      <c r="AM30" s="431">
        <f t="shared" ca="1" si="0"/>
        <v>0</v>
      </c>
      <c r="AN30" s="617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12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/>
      </c>
      <c r="M31" s="145" t="s">
        <v>198</v>
      </c>
      <c r="N31" s="146" t="str">
        <f t="shared" ca="1" si="11"/>
        <v>Serviço</v>
      </c>
      <c r="O31" s="147" t="str">
        <f t="shared" ca="1" si="12"/>
        <v>-</v>
      </c>
      <c r="P31" s="148" t="s">
        <v>246</v>
      </c>
      <c r="Q31" s="149"/>
      <c r="R31" s="150" t="str">
        <f t="shared" ca="1" si="24"/>
        <v>(abra o arquivo 'Referência 05-2023.xls)</v>
      </c>
      <c r="S31" s="151" t="str">
        <f t="shared" ca="1" si="13"/>
        <v>-</v>
      </c>
      <c r="T31" s="152">
        <f ca="1">OFFSET(CÁLCULO!H$15,ROW($T31)-ROW(T$15),0)</f>
        <v>0</v>
      </c>
      <c r="U31" s="153"/>
      <c r="V31" s="154" t="s">
        <v>155</v>
      </c>
      <c r="W31" s="152">
        <f t="shared" ca="1" si="14"/>
        <v>0</v>
      </c>
      <c r="X31" s="155">
        <f t="shared" ca="1" si="15"/>
        <v>0</v>
      </c>
      <c r="Y31" s="156" t="s">
        <v>244</v>
      </c>
      <c r="Z31" t="str">
        <f t="shared" ca="1" si="16"/>
        <v/>
      </c>
      <c r="AA31" s="157">
        <f ca="1">IF($C31="S",IF($Z31="CP",$X31,IF($Z31="RA",(($X31)*QCI!$AA$3),0)),SomaAgrup)</f>
        <v>0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b">
        <f t="shared" ca="1" si="19"/>
        <v>0</v>
      </c>
      <c r="AF31" s="160" t="str">
        <f t="shared" ca="1" si="20"/>
        <v>(abra o arquivo 'Referência 05-2023.xls)</v>
      </c>
      <c r="AG31" s="550">
        <f t="shared" ca="1" si="21"/>
        <v>0</v>
      </c>
      <c r="AH31" s="551">
        <f t="shared" ca="1" si="22"/>
        <v>0.24390000000000001</v>
      </c>
      <c r="AJ31" s="553"/>
      <c r="AL31" s="574"/>
      <c r="AM31" s="431">
        <f t="shared" ca="1" si="0"/>
        <v>0</v>
      </c>
      <c r="AN31" s="617">
        <f t="shared" ca="1" si="23"/>
        <v>0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12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 t="str">
        <f ca="1">IF($C32="S",REFERENCIA.Descricao,"(digite a descrição aqui)")</f>
        <v>(abra o arquivo 'Referência 05-2023.xls)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(abra o arquivo 'Referência 05-2023.xls)</v>
      </c>
      <c r="AG32" s="550">
        <f t="shared" ca="1" si="21"/>
        <v>0</v>
      </c>
      <c r="AH32" s="551">
        <f t="shared" ca="1" si="22"/>
        <v>0.24390000000000001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12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(abra o arquivo 'Referência 05-2023.xls)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(abra o arquivo 'Referência 05-2023.xls)</v>
      </c>
      <c r="AG33" s="550">
        <f t="shared" ca="1" si="21"/>
        <v>0</v>
      </c>
      <c r="AH33" s="551">
        <f t="shared" ca="1" si="22"/>
        <v>0.24390000000000001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12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246</v>
      </c>
      <c r="Q34" s="149"/>
      <c r="R34" s="150" t="str">
        <f t="shared" ca="1" si="24"/>
        <v>(abra o arquivo 'Referência 05-2023.xls)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(abra o arquivo 'Referência 05-2023.xls)</v>
      </c>
      <c r="AG34" s="550">
        <f t="shared" ca="1" si="21"/>
        <v>0</v>
      </c>
      <c r="AH34" s="551">
        <f t="shared" ca="1" si="22"/>
        <v>0.24390000000000001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12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(abra o arquivo 'Referência 05-2023.xls)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(abra o arquivo 'Referência 05-2023.xls)</v>
      </c>
      <c r="AG35" s="550">
        <f t="shared" ca="1" si="21"/>
        <v>0</v>
      </c>
      <c r="AH35" s="551">
        <f t="shared" ca="1" si="22"/>
        <v>0.24390000000000001</v>
      </c>
      <c r="AJ35" s="553"/>
      <c r="AL35" s="574"/>
      <c r="AM35" s="431">
        <f t="shared" ca="1" si="0"/>
        <v>0</v>
      </c>
      <c r="AN35" s="617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12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/>
      </c>
      <c r="M36" s="145" t="s">
        <v>198</v>
      </c>
      <c r="N36" s="146" t="str">
        <f t="shared" ca="1" si="11"/>
        <v>Serviço</v>
      </c>
      <c r="O36" s="147" t="str">
        <f t="shared" ca="1" si="12"/>
        <v>-</v>
      </c>
      <c r="P36" s="148" t="s">
        <v>246</v>
      </c>
      <c r="Q36" s="149"/>
      <c r="R36" s="150" t="str">
        <f t="shared" ca="1" si="24"/>
        <v>(abra o arquivo 'Referência 05-2023.xls)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0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0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b">
        <f t="shared" ca="1" si="19"/>
        <v>0</v>
      </c>
      <c r="AF36" s="160" t="str">
        <f t="shared" ca="1" si="20"/>
        <v>(abra o arquivo 'Referência 05-2023.xls)</v>
      </c>
      <c r="AG36" s="550">
        <f t="shared" ca="1" si="21"/>
        <v>0</v>
      </c>
      <c r="AH36" s="551">
        <f t="shared" ca="1" si="22"/>
        <v>0.24390000000000001</v>
      </c>
      <c r="AJ36" s="553"/>
      <c r="AL36" s="574"/>
      <c r="AM36" s="431">
        <f t="shared" ca="1" si="0"/>
        <v>0</v>
      </c>
      <c r="AN36" s="617">
        <f t="shared" ca="1" si="23"/>
        <v>0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12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/>
      </c>
      <c r="M37" s="145" t="s">
        <v>198</v>
      </c>
      <c r="N37" s="146" t="str">
        <f t="shared" ca="1" si="11"/>
        <v>Serviço</v>
      </c>
      <c r="O37" s="147" t="str">
        <f t="shared" ca="1" si="12"/>
        <v>-</v>
      </c>
      <c r="P37" s="148" t="s">
        <v>246</v>
      </c>
      <c r="Q37" s="149"/>
      <c r="R37" s="150" t="str">
        <f t="shared" ca="1" si="24"/>
        <v>(abra o arquivo 'Referência 05-2023.xls)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0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0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b">
        <f t="shared" ca="1" si="19"/>
        <v>0</v>
      </c>
      <c r="AF37" s="160" t="str">
        <f t="shared" ca="1" si="20"/>
        <v>(abra o arquivo 'Referência 05-2023.xls)</v>
      </c>
      <c r="AG37" s="550">
        <f t="shared" ca="1" si="21"/>
        <v>0</v>
      </c>
      <c r="AH37" s="551">
        <f t="shared" ca="1" si="22"/>
        <v>0.24390000000000001</v>
      </c>
      <c r="AJ37" s="553"/>
      <c r="AL37" s="574"/>
      <c r="AM37" s="431">
        <f t="shared" ca="1" si="0"/>
        <v>0</v>
      </c>
      <c r="AN37" s="617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12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/>
      </c>
      <c r="M38" s="145" t="s">
        <v>198</v>
      </c>
      <c r="N38" s="146" t="str">
        <f t="shared" ca="1" si="11"/>
        <v>Serviço</v>
      </c>
      <c r="O38" s="147" t="str">
        <f t="shared" ca="1" si="12"/>
        <v>-</v>
      </c>
      <c r="P38" s="148" t="s">
        <v>246</v>
      </c>
      <c r="Q38" s="149"/>
      <c r="R38" s="150" t="str">
        <f t="shared" ca="1" si="24"/>
        <v>(abra o arquivo 'Referência 05-2023.xls)</v>
      </c>
      <c r="S38" s="151" t="str">
        <f t="shared" ca="1" si="13"/>
        <v>-</v>
      </c>
      <c r="T38" s="152">
        <f ca="1">OFFSET(CÁLCULO!H$15,ROW($T38)-ROW(T$15),0)</f>
        <v>0</v>
      </c>
      <c r="U38" s="153"/>
      <c r="V38" s="154" t="s">
        <v>155</v>
      </c>
      <c r="W38" s="152">
        <f t="shared" ca="1" si="14"/>
        <v>0</v>
      </c>
      <c r="X38" s="155">
        <f t="shared" ca="1" si="15"/>
        <v>0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0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b">
        <f t="shared" ca="1" si="19"/>
        <v>0</v>
      </c>
      <c r="AF38" s="160" t="str">
        <f t="shared" ca="1" si="20"/>
        <v>(abra o arquivo 'Referência 05-2023.xls)</v>
      </c>
      <c r="AG38" s="550">
        <f t="shared" ca="1" si="21"/>
        <v>0</v>
      </c>
      <c r="AH38" s="551">
        <f t="shared" ca="1" si="22"/>
        <v>0.24390000000000001</v>
      </c>
      <c r="AJ38" s="553"/>
      <c r="AL38" s="574"/>
      <c r="AM38" s="431">
        <f t="shared" ca="1" si="0"/>
        <v>0</v>
      </c>
      <c r="AN38" s="617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1</v>
      </c>
      <c r="G39">
        <f t="shared" ca="1" si="6"/>
        <v>0</v>
      </c>
      <c r="H39">
        <f t="shared" ca="1" si="7"/>
        <v>0</v>
      </c>
      <c r="I39">
        <f t="shared" ca="1" si="8"/>
        <v>12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/>
      </c>
      <c r="M39" s="145" t="s">
        <v>198</v>
      </c>
      <c r="N39" s="146" t="str">
        <f t="shared" ca="1" si="11"/>
        <v>Serviço</v>
      </c>
      <c r="O39" s="147" t="str">
        <f t="shared" ca="1" si="12"/>
        <v>-</v>
      </c>
      <c r="P39" s="148" t="s">
        <v>246</v>
      </c>
      <c r="Q39" s="149"/>
      <c r="R39" s="150" t="str">
        <f t="shared" ca="1" si="24"/>
        <v>(abra o arquivo 'Referência 05-2023.xls)</v>
      </c>
      <c r="S39" s="151" t="str">
        <f t="shared" ca="1" si="13"/>
        <v>-</v>
      </c>
      <c r="T39" s="152">
        <f ca="1">OFFSET(CÁLCULO!H$15,ROW($T39)-ROW(T$15),0)</f>
        <v>0</v>
      </c>
      <c r="U39" s="153"/>
      <c r="V39" s="154" t="s">
        <v>155</v>
      </c>
      <c r="W39" s="152">
        <f t="shared" ca="1" si="14"/>
        <v>0</v>
      </c>
      <c r="X39" s="155">
        <f t="shared" ca="1" si="15"/>
        <v>0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0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b">
        <f t="shared" ca="1" si="19"/>
        <v>0</v>
      </c>
      <c r="AF39" s="160" t="str">
        <f t="shared" ca="1" si="20"/>
        <v>(abra o arquivo 'Referência 05-2023.xls)</v>
      </c>
      <c r="AG39" s="550">
        <f t="shared" ca="1" si="21"/>
        <v>0</v>
      </c>
      <c r="AH39" s="551">
        <f t="shared" ca="1" si="22"/>
        <v>0.24390000000000001</v>
      </c>
      <c r="AJ39" s="553"/>
      <c r="AL39" s="574"/>
      <c r="AM39" s="431">
        <f t="shared" ca="1" si="0"/>
        <v>0</v>
      </c>
      <c r="AN39" s="617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12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246</v>
      </c>
      <c r="Q40" s="149"/>
      <c r="R40" s="150" t="str">
        <f t="shared" ca="1" si="24"/>
        <v>(abra o arquivo 'Referência 05-2023.xls)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(abra o arquivo 'Referência 05-2023.xls)</v>
      </c>
      <c r="AG40" s="550">
        <f t="shared" ca="1" si="21"/>
        <v>0</v>
      </c>
      <c r="AH40" s="551">
        <f t="shared" ca="1" si="22"/>
        <v>0.24390000000000001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12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(abra o arquivo 'Referência 05-2023.xls)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(abra o arquivo 'Referência 05-2023.xls)</v>
      </c>
      <c r="AG41" s="550">
        <f t="shared" ca="1" si="21"/>
        <v>0</v>
      </c>
      <c r="AH41" s="551">
        <f t="shared" ca="1" si="22"/>
        <v>0.24390000000000001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hidden="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12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/>
      </c>
      <c r="M42" s="145" t="s">
        <v>198</v>
      </c>
      <c r="N42" s="146" t="str">
        <f t="shared" ca="1" si="11"/>
        <v>Serviço</v>
      </c>
      <c r="O42" s="147" t="str">
        <f t="shared" ca="1" si="12"/>
        <v>-</v>
      </c>
      <c r="P42" s="148" t="s">
        <v>246</v>
      </c>
      <c r="Q42" s="149"/>
      <c r="R42" s="150" t="str">
        <f t="shared" ca="1" si="24"/>
        <v>(abra o arquivo 'Referência 05-2023.xls)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0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0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b">
        <f t="shared" ca="1" si="19"/>
        <v>0</v>
      </c>
      <c r="AF42" s="160" t="str">
        <f t="shared" ca="1" si="20"/>
        <v>(abra o arquivo 'Referência 05-2023.xls)</v>
      </c>
      <c r="AG42" s="550">
        <f t="shared" ca="1" si="21"/>
        <v>0</v>
      </c>
      <c r="AH42" s="551">
        <f t="shared" ca="1" si="22"/>
        <v>0.24390000000000001</v>
      </c>
      <c r="AJ42" s="553"/>
      <c r="AL42" s="574"/>
      <c r="AM42" s="431">
        <f t="shared" ca="1" si="0"/>
        <v>0</v>
      </c>
      <c r="AN42" s="617">
        <f t="shared" ca="1" si="23"/>
        <v>0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12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/>
      </c>
      <c r="M43" s="145" t="s">
        <v>198</v>
      </c>
      <c r="N43" s="146" t="str">
        <f t="shared" ca="1" si="11"/>
        <v>Serviço</v>
      </c>
      <c r="O43" s="147" t="str">
        <f t="shared" ca="1" si="12"/>
        <v>-</v>
      </c>
      <c r="P43" s="148" t="s">
        <v>246</v>
      </c>
      <c r="Q43" s="149"/>
      <c r="R43" s="150" t="str">
        <f ca="1">IF($C43="S",REFERENCIA.Descricao,"(digite a descrição aqui)")</f>
        <v>(abra o arquivo 'Referência 05-2023.xls)</v>
      </c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0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0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b">
        <f t="shared" ca="1" si="19"/>
        <v>0</v>
      </c>
      <c r="AF43" s="160" t="str">
        <f t="shared" ca="1" si="20"/>
        <v>(abra o arquivo 'Referência 05-2023.xls)</v>
      </c>
      <c r="AG43" s="550">
        <f t="shared" ca="1" si="21"/>
        <v>0</v>
      </c>
      <c r="AH43" s="551">
        <f t="shared" ca="1" si="22"/>
        <v>0.24390000000000001</v>
      </c>
      <c r="AJ43" s="553"/>
      <c r="AL43" s="574"/>
      <c r="AM43" s="431">
        <f t="shared" ca="1" si="0"/>
        <v>0</v>
      </c>
      <c r="AN43" s="617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12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246</v>
      </c>
      <c r="Q44" s="149"/>
      <c r="R44" s="150" t="str">
        <f t="shared" ca="1" si="24"/>
        <v>(abra o arquivo 'Referência 05-2023.xls)</v>
      </c>
      <c r="S44" s="151" t="str">
        <f t="shared" ca="1" si="13"/>
        <v>-</v>
      </c>
      <c r="T44" s="152">
        <f ca="1">OFFSET(CÁLCULO!H$15,ROW($T44)-ROW(T$15),0)</f>
        <v>0</v>
      </c>
      <c r="U44" s="153"/>
      <c r="V44" s="154" t="s">
        <v>155</v>
      </c>
      <c r="W44" s="152">
        <f t="shared" ca="1" si="14"/>
        <v>0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b">
        <f t="shared" ca="1" si="19"/>
        <v>0</v>
      </c>
      <c r="AF44" s="160" t="str">
        <f t="shared" ca="1" si="20"/>
        <v>(abra o arquivo 'Referência 05-2023.xls)</v>
      </c>
      <c r="AG44" s="550">
        <f t="shared" ca="1" si="21"/>
        <v>0</v>
      </c>
      <c r="AH44" s="551">
        <f t="shared" ca="1" si="22"/>
        <v>0.24390000000000001</v>
      </c>
      <c r="AJ44" s="553"/>
      <c r="AL44" s="574"/>
      <c r="AM44" s="431">
        <f t="shared" ca="1" si="0"/>
        <v>0</v>
      </c>
      <c r="AN44" s="617">
        <f t="shared" ca="1" si="23"/>
        <v>0</v>
      </c>
    </row>
    <row r="45" spans="1:40" x14ac:dyDescent="0.2">
      <c r="A45">
        <f t="shared" si="1"/>
        <v>2</v>
      </c>
      <c r="B45">
        <f t="shared" ca="1" si="2"/>
        <v>2</v>
      </c>
      <c r="C45">
        <f t="shared" ca="1" si="3"/>
        <v>2</v>
      </c>
      <c r="D45">
        <f t="shared" ca="1" si="4"/>
        <v>25</v>
      </c>
      <c r="E45">
        <f ca="1">IF($C45=1,OFFSET(E45,-1,0)+MAX(1,COUNTIF(QCI!$A$13:$A$24,OFFSET(ORÇAMENTO!E45,-1,0))),OFFSET(E45,-1,0))</f>
        <v>1</v>
      </c>
      <c r="F45">
        <f t="shared" ca="1" si="5"/>
        <v>2</v>
      </c>
      <c r="G45">
        <f t="shared" ca="1" si="6"/>
        <v>0</v>
      </c>
      <c r="H45">
        <f t="shared" ca="1" si="7"/>
        <v>0</v>
      </c>
      <c r="I45">
        <f t="shared" ca="1" si="8"/>
        <v>0</v>
      </c>
      <c r="J45">
        <f t="shared" ca="1" si="9"/>
        <v>221</v>
      </c>
      <c r="K45">
        <f ca="1">IF(OR($C45="S",$C45=0),0,MATCH(OFFSET($D45,0,$C45)+IF($C45&lt;&gt;1,1,COUNTIF(QCI!$A$13:$A$24,ORÇAMENTO!E45)),OFFSET($D45,1,$C45,ROW($C$266)-ROW($C45)),0))</f>
        <v>25</v>
      </c>
      <c r="L45" s="144" t="str">
        <f t="shared" ca="1" si="10"/>
        <v>F</v>
      </c>
      <c r="M45" s="145" t="s">
        <v>195</v>
      </c>
      <c r="N45" s="146" t="str">
        <f t="shared" ca="1" si="11"/>
        <v>Nível 2</v>
      </c>
      <c r="O45" s="147" t="str">
        <f t="shared" ca="1" si="12"/>
        <v>1.2.</v>
      </c>
      <c r="P45" s="148" t="s">
        <v>246</v>
      </c>
      <c r="Q45" s="149"/>
      <c r="R45" s="150" t="s">
        <v>461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14881.38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14881.38</v>
      </c>
      <c r="AB45" s="158">
        <f t="shared" ca="1" si="17"/>
        <v>0</v>
      </c>
      <c r="AC45" s="159" t="str">
        <f t="shared" ca="1" si="18"/>
        <v/>
      </c>
      <c r="AD45" s="105">
        <f ca="1">IF(C45&lt;=CRONO.NivelExibicao,MAX($AD$15:OFFSET(AD45,-1,0))+IF($C45&lt;&gt;1,1,MAX(1,COUNTIF(QCI!$A$13:$A$24,OFFSET($E45,-1,0)))),"")</f>
        <v>3</v>
      </c>
      <c r="AE45" s="115" t="b">
        <f t="shared" ca="1" si="19"/>
        <v>0</v>
      </c>
      <c r="AF45" s="160" t="str">
        <f t="shared" ca="1" si="20"/>
        <v>(abra o arquivo 'Referência 05-2023.xls)</v>
      </c>
      <c r="AG45" s="550">
        <f t="shared" ca="1" si="21"/>
        <v>0</v>
      </c>
      <c r="AH45" s="551">
        <f t="shared" ca="1" si="22"/>
        <v>0.24390000000000001</v>
      </c>
      <c r="AJ45" s="553"/>
      <c r="AL45" s="574"/>
      <c r="AM45" s="431">
        <f t="shared" ca="1" si="0"/>
        <v>14881.38</v>
      </c>
      <c r="AN45" s="617">
        <f t="shared" ca="1" si="23"/>
        <v>0</v>
      </c>
    </row>
    <row r="46" spans="1:40" ht="38.25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2</v>
      </c>
      <c r="G46">
        <f t="shared" ca="1" si="6"/>
        <v>0</v>
      </c>
      <c r="H46">
        <f t="shared" ca="1" si="7"/>
        <v>0</v>
      </c>
      <c r="I46">
        <f t="shared" ca="1" si="8"/>
        <v>1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>F</v>
      </c>
      <c r="M46" s="145" t="s">
        <v>198</v>
      </c>
      <c r="N46" s="146" t="str">
        <f t="shared" ca="1" si="11"/>
        <v>Serviço</v>
      </c>
      <c r="O46" s="147" t="str">
        <f t="shared" ca="1" si="12"/>
        <v>1.2.1.</v>
      </c>
      <c r="P46" s="148" t="s">
        <v>246</v>
      </c>
      <c r="Q46" s="149" t="s">
        <v>528</v>
      </c>
      <c r="R46" s="150" t="str">
        <f t="shared" ca="1" si="24"/>
        <v>(abra o arquivo 'Referência 05-2023.xls)</v>
      </c>
      <c r="S46" s="151" t="str">
        <f t="shared" ca="1" si="13"/>
        <v>-</v>
      </c>
      <c r="T46" s="152">
        <f ca="1">OFFSET(CÁLCULO!H$15,ROW($T46)-ROW(T$15),0)</f>
        <v>48</v>
      </c>
      <c r="U46" s="153">
        <v>123.01</v>
      </c>
      <c r="V46" s="154" t="s">
        <v>155</v>
      </c>
      <c r="W46" s="152">
        <f t="shared" ca="1" si="14"/>
        <v>153.01</v>
      </c>
      <c r="X46" s="155">
        <f t="shared" ca="1" si="15"/>
        <v>7344.48</v>
      </c>
      <c r="Y46" s="156" t="s">
        <v>244</v>
      </c>
      <c r="Z46" t="str">
        <f t="shared" ca="1" si="16"/>
        <v>RA</v>
      </c>
      <c r="AA46" s="157">
        <f ca="1">IF($C46="S",IF($Z46="CP",$X46,IF($Z46="RA",(($X46)*QCI!$AA$3),0)),SomaAgrup)</f>
        <v>7344.48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str">
        <f t="shared" ca="1" si="19"/>
        <v>SINAPI 101175</v>
      </c>
      <c r="AF46" s="160" t="str">
        <f t="shared" ca="1" si="20"/>
        <v>(abra o arquivo 'Referência 05-2023.xls)</v>
      </c>
      <c r="AG46" s="550">
        <f t="shared" ca="1" si="21"/>
        <v>0</v>
      </c>
      <c r="AH46" s="551">
        <f t="shared" ca="1" si="22"/>
        <v>0.24390000000000001</v>
      </c>
      <c r="AJ46" s="553">
        <v>48</v>
      </c>
      <c r="AL46" s="574"/>
      <c r="AM46" s="431">
        <f t="shared" ca="1" si="0"/>
        <v>7344.48</v>
      </c>
      <c r="AN46" s="617">
        <f t="shared" ca="1" si="23"/>
        <v>153.01</v>
      </c>
    </row>
    <row r="47" spans="1:40" ht="38.25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2</v>
      </c>
      <c r="G47">
        <f t="shared" ca="1" si="6"/>
        <v>0</v>
      </c>
      <c r="H47">
        <f t="shared" ca="1" si="7"/>
        <v>0</v>
      </c>
      <c r="I47">
        <f t="shared" ca="1" si="8"/>
        <v>2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>F</v>
      </c>
      <c r="M47" s="145" t="s">
        <v>198</v>
      </c>
      <c r="N47" s="146" t="str">
        <f t="shared" ca="1" si="11"/>
        <v>Serviço</v>
      </c>
      <c r="O47" s="147" t="str">
        <f t="shared" ca="1" si="12"/>
        <v>1.2.2.</v>
      </c>
      <c r="P47" s="148" t="s">
        <v>246</v>
      </c>
      <c r="Q47" s="149" t="s">
        <v>519</v>
      </c>
      <c r="R47" s="150" t="str">
        <f t="shared" ca="1" si="24"/>
        <v>(abra o arquivo 'Referência 05-2023.xls)</v>
      </c>
      <c r="S47" s="151" t="str">
        <f t="shared" ca="1" si="13"/>
        <v>-</v>
      </c>
      <c r="T47" s="152">
        <f ca="1">OFFSET(CÁLCULO!H$15,ROW($T47)-ROW(T$15),0)</f>
        <v>3.45</v>
      </c>
      <c r="U47" s="153">
        <v>460.46</v>
      </c>
      <c r="V47" s="154" t="s">
        <v>155</v>
      </c>
      <c r="W47" s="152">
        <f t="shared" ca="1" si="14"/>
        <v>572.77</v>
      </c>
      <c r="X47" s="155">
        <f t="shared" ca="1" si="15"/>
        <v>1976.06</v>
      </c>
      <c r="Y47" s="156" t="s">
        <v>244</v>
      </c>
      <c r="Z47" t="str">
        <f t="shared" ca="1" si="16"/>
        <v>RA</v>
      </c>
      <c r="AA47" s="157">
        <f ca="1">IF($C47="S",IF($Z47="CP",$X47,IF($Z47="RA",(($X47)*QCI!$AA$3),0)),SomaAgrup)</f>
        <v>1976.06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str">
        <f t="shared" ca="1" si="19"/>
        <v>SINAPI 94965</v>
      </c>
      <c r="AF47" s="160" t="str">
        <f t="shared" ca="1" si="20"/>
        <v>(abra o arquivo 'Referência 05-2023.xls)</v>
      </c>
      <c r="AG47" s="550">
        <f t="shared" ca="1" si="21"/>
        <v>0</v>
      </c>
      <c r="AH47" s="551">
        <f t="shared" ca="1" si="22"/>
        <v>0.24390000000000001</v>
      </c>
      <c r="AJ47" s="553">
        <v>3.45</v>
      </c>
      <c r="AL47" s="574"/>
      <c r="AM47" s="431">
        <f t="shared" ca="1" si="0"/>
        <v>1976.06</v>
      </c>
      <c r="AN47" s="617">
        <f t="shared" ca="1" si="23"/>
        <v>572.77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2</v>
      </c>
      <c r="G48">
        <f t="shared" ca="1" si="6"/>
        <v>0</v>
      </c>
      <c r="H48">
        <f t="shared" ca="1" si="7"/>
        <v>0</v>
      </c>
      <c r="I48">
        <f t="shared" ca="1" si="8"/>
        <v>2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450</v>
      </c>
      <c r="Q48" s="149"/>
      <c r="R48" s="150" t="str">
        <f t="shared" ca="1" si="24"/>
        <v>(abra o arquivo 'Referência 05-2023.xls)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(abra o arquivo 'Referência 05-2023.xls)</v>
      </c>
      <c r="AG48" s="550">
        <f t="shared" ca="1" si="21"/>
        <v>0</v>
      </c>
      <c r="AH48" s="551">
        <f t="shared" ca="1" si="22"/>
        <v>0.24390000000000001</v>
      </c>
      <c r="AJ48" s="553"/>
      <c r="AL48" s="574"/>
      <c r="AM48" s="431">
        <f t="shared" ca="1" si="0"/>
        <v>0</v>
      </c>
      <c r="AN48" s="617">
        <f t="shared" ca="1" si="23"/>
        <v>0</v>
      </c>
    </row>
    <row r="49" spans="1:40" ht="25.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2</v>
      </c>
      <c r="G49">
        <f t="shared" ca="1" si="6"/>
        <v>0</v>
      </c>
      <c r="H49">
        <f t="shared" ca="1" si="7"/>
        <v>0</v>
      </c>
      <c r="I49">
        <f t="shared" ca="1" si="8"/>
        <v>3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>F</v>
      </c>
      <c r="M49" s="145" t="s">
        <v>198</v>
      </c>
      <c r="N49" s="146" t="str">
        <f t="shared" ca="1" si="11"/>
        <v>Serviço</v>
      </c>
      <c r="O49" s="147" t="str">
        <f t="shared" ca="1" si="12"/>
        <v>1.2.3.</v>
      </c>
      <c r="P49" s="148" t="s">
        <v>246</v>
      </c>
      <c r="Q49" s="149" t="s">
        <v>523</v>
      </c>
      <c r="R49" s="150" t="str">
        <f t="shared" ca="1" si="24"/>
        <v>(abra o arquivo 'Referência 05-2023.xls)</v>
      </c>
      <c r="S49" s="151" t="str">
        <f t="shared" ca="1" si="13"/>
        <v>-</v>
      </c>
      <c r="T49" s="152">
        <f ca="1">OFFSET(CÁLCULO!H$15,ROW($T49)-ROW(T$15),0)</f>
        <v>101.8</v>
      </c>
      <c r="U49" s="153">
        <v>13.64</v>
      </c>
      <c r="V49" s="154" t="s">
        <v>155</v>
      </c>
      <c r="W49" s="152">
        <f t="shared" ca="1" si="14"/>
        <v>16.97</v>
      </c>
      <c r="X49" s="155">
        <f t="shared" ca="1" si="15"/>
        <v>1727.55</v>
      </c>
      <c r="Y49" s="156" t="s">
        <v>244</v>
      </c>
      <c r="Z49" t="str">
        <f t="shared" ca="1" si="16"/>
        <v>RA</v>
      </c>
      <c r="AA49" s="157">
        <f ca="1">IF($C49="S",IF($Z49="CP",$X49,IF($Z49="RA",(($X49)*QCI!$AA$3),0)),SomaAgrup)</f>
        <v>1727.55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str">
        <f t="shared" ca="1" si="19"/>
        <v>SINAPI 96546</v>
      </c>
      <c r="AF49" s="160" t="str">
        <f t="shared" ca="1" si="20"/>
        <v>(abra o arquivo 'Referência 05-2023.xls)</v>
      </c>
      <c r="AG49" s="550">
        <f t="shared" ca="1" si="21"/>
        <v>0</v>
      </c>
      <c r="AH49" s="551">
        <f t="shared" ca="1" si="22"/>
        <v>0.24390000000000001</v>
      </c>
      <c r="AJ49" s="553">
        <v>101.8</v>
      </c>
      <c r="AL49" s="574"/>
      <c r="AM49" s="431">
        <f t="shared" ca="1" si="0"/>
        <v>1727.55</v>
      </c>
      <c r="AN49" s="617">
        <f t="shared" ca="1" si="23"/>
        <v>16.97</v>
      </c>
    </row>
    <row r="50" spans="1:40" ht="38.25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2</v>
      </c>
      <c r="G50">
        <f t="shared" ca="1" si="6"/>
        <v>0</v>
      </c>
      <c r="H50">
        <f t="shared" ca="1" si="7"/>
        <v>0</v>
      </c>
      <c r="I50">
        <f t="shared" ca="1" si="8"/>
        <v>4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>F</v>
      </c>
      <c r="M50" s="145" t="s">
        <v>198</v>
      </c>
      <c r="N50" s="146" t="str">
        <f t="shared" ca="1" si="11"/>
        <v>Serviço</v>
      </c>
      <c r="O50" s="147" t="str">
        <f t="shared" ca="1" si="12"/>
        <v>1.2.4.</v>
      </c>
      <c r="P50" s="148" t="s">
        <v>246</v>
      </c>
      <c r="Q50" s="149" t="s">
        <v>527</v>
      </c>
      <c r="R50" s="150" t="str">
        <f t="shared" ca="1" si="24"/>
        <v>(abra o arquivo 'Referência 05-2023.xls)</v>
      </c>
      <c r="S50" s="151" t="str">
        <f t="shared" ca="1" si="13"/>
        <v>-</v>
      </c>
      <c r="T50" s="152">
        <f ca="1">OFFSET(CÁLCULO!H$15,ROW($T50)-ROW(T$15),0)</f>
        <v>3.42</v>
      </c>
      <c r="U50" s="153">
        <v>677.38</v>
      </c>
      <c r="V50" s="154" t="s">
        <v>155</v>
      </c>
      <c r="W50" s="152">
        <f t="shared" ca="1" si="14"/>
        <v>842.59</v>
      </c>
      <c r="X50" s="155">
        <f t="shared" ca="1" si="15"/>
        <v>2881.66</v>
      </c>
      <c r="Y50" s="156" t="s">
        <v>244</v>
      </c>
      <c r="Z50" t="str">
        <f t="shared" ca="1" si="16"/>
        <v>RA</v>
      </c>
      <c r="AA50" s="157">
        <f ca="1">IF($C50="S",IF($Z50="CP",$X50,IF($Z50="RA",(($X50)*QCI!$AA$3),0)),SomaAgrup)</f>
        <v>2881.66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str">
        <f t="shared" ca="1" si="19"/>
        <v>SINAPI 96555</v>
      </c>
      <c r="AF50" s="160" t="str">
        <f t="shared" ca="1" si="20"/>
        <v>(abra o arquivo 'Referência 05-2023.xls)</v>
      </c>
      <c r="AG50" s="550">
        <f t="shared" ca="1" si="21"/>
        <v>0</v>
      </c>
      <c r="AH50" s="551">
        <f t="shared" ca="1" si="22"/>
        <v>0.24390000000000001</v>
      </c>
      <c r="AJ50" s="553">
        <v>3.42</v>
      </c>
      <c r="AL50" s="574"/>
      <c r="AM50" s="431">
        <f t="shared" ca="1" si="0"/>
        <v>2881.66</v>
      </c>
      <c r="AN50" s="617">
        <f t="shared" ca="1" si="23"/>
        <v>842.59</v>
      </c>
    </row>
    <row r="51" spans="1:40" ht="25.5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2</v>
      </c>
      <c r="G51">
        <f t="shared" ca="1" si="6"/>
        <v>0</v>
      </c>
      <c r="H51">
        <f t="shared" ca="1" si="7"/>
        <v>0</v>
      </c>
      <c r="I51">
        <f t="shared" ca="1" si="8"/>
        <v>5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>F</v>
      </c>
      <c r="M51" s="145" t="s">
        <v>198</v>
      </c>
      <c r="N51" s="146" t="str">
        <f t="shared" ca="1" si="11"/>
        <v>Serviço</v>
      </c>
      <c r="O51" s="147" t="str">
        <f t="shared" ca="1" si="12"/>
        <v>1.2.5.</v>
      </c>
      <c r="P51" s="148" t="s">
        <v>246</v>
      </c>
      <c r="Q51" s="149" t="s">
        <v>521</v>
      </c>
      <c r="R51" s="150" t="str">
        <f t="shared" ca="1" si="24"/>
        <v>(abra o arquivo 'Referência 05-2023.xls)</v>
      </c>
      <c r="S51" s="151" t="str">
        <f t="shared" ca="1" si="13"/>
        <v>-</v>
      </c>
      <c r="T51" s="152">
        <f ca="1">OFFSET(CÁLCULO!H$15,ROW($T51)-ROW(T$15),0)</f>
        <v>7.66</v>
      </c>
      <c r="U51" s="153">
        <v>19.260000000000002</v>
      </c>
      <c r="V51" s="154" t="s">
        <v>155</v>
      </c>
      <c r="W51" s="152">
        <f t="shared" ca="1" si="14"/>
        <v>23.96</v>
      </c>
      <c r="X51" s="155">
        <f t="shared" ca="1" si="15"/>
        <v>183.53</v>
      </c>
      <c r="Y51" s="156" t="s">
        <v>244</v>
      </c>
      <c r="Z51" t="str">
        <f t="shared" ca="1" si="16"/>
        <v>RA</v>
      </c>
      <c r="AA51" s="157">
        <f ca="1">IF($C51="S",IF($Z51="CP",$X51,IF($Z51="RA",(($X51)*QCI!$AA$3),0)),SomaAgrup)</f>
        <v>183.53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str">
        <f t="shared" ca="1" si="19"/>
        <v>SINAPI 96543</v>
      </c>
      <c r="AF51" s="160" t="str">
        <f t="shared" ca="1" si="20"/>
        <v>(abra o arquivo 'Referência 05-2023.xls)</v>
      </c>
      <c r="AG51" s="550">
        <f t="shared" ca="1" si="21"/>
        <v>0</v>
      </c>
      <c r="AH51" s="551">
        <f t="shared" ca="1" si="22"/>
        <v>0.24390000000000001</v>
      </c>
      <c r="AJ51" s="553">
        <v>7.66</v>
      </c>
      <c r="AL51" s="574"/>
      <c r="AM51" s="431">
        <f t="shared" ca="1" si="0"/>
        <v>183.53</v>
      </c>
      <c r="AN51" s="617">
        <f t="shared" ca="1" si="23"/>
        <v>23.96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2</v>
      </c>
      <c r="G52">
        <f t="shared" ca="1" si="6"/>
        <v>0</v>
      </c>
      <c r="H52">
        <f t="shared" ca="1" si="7"/>
        <v>0</v>
      </c>
      <c r="I52">
        <f t="shared" ca="1" si="8"/>
        <v>5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(abra o arquivo 'Referência 05-2023.xls)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(abra o arquivo 'Referência 05-2023.xls)</v>
      </c>
      <c r="AG52" s="550">
        <f t="shared" ca="1" si="21"/>
        <v>0</v>
      </c>
      <c r="AH52" s="551">
        <f t="shared" ca="1" si="22"/>
        <v>0.24390000000000001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t="25.5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2</v>
      </c>
      <c r="G53">
        <f t="shared" ca="1" si="6"/>
        <v>0</v>
      </c>
      <c r="H53">
        <f t="shared" ca="1" si="7"/>
        <v>0</v>
      </c>
      <c r="I53">
        <f t="shared" ca="1" si="8"/>
        <v>6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>F</v>
      </c>
      <c r="M53" s="145" t="s">
        <v>198</v>
      </c>
      <c r="N53" s="146" t="str">
        <f t="shared" ca="1" si="11"/>
        <v>Serviço</v>
      </c>
      <c r="O53" s="147" t="str">
        <f t="shared" ca="1" si="12"/>
        <v>1.2.6.</v>
      </c>
      <c r="P53" s="148" t="s">
        <v>246</v>
      </c>
      <c r="Q53" s="149" t="s">
        <v>524</v>
      </c>
      <c r="R53" s="150" t="str">
        <f ca="1">IF($C53="S",REFERENCIA.Descricao,"(digite a descrição aqui)")</f>
        <v>(abra o arquivo 'Referência 05-2023.xls)</v>
      </c>
      <c r="S53" s="151" t="str">
        <f t="shared" ca="1" si="13"/>
        <v>-</v>
      </c>
      <c r="T53" s="152">
        <f ca="1">OFFSET(CÁLCULO!H$15,ROW($T53)-ROW(T$15),0)</f>
        <v>7.2</v>
      </c>
      <c r="U53" s="153">
        <v>85.76</v>
      </c>
      <c r="V53" s="154" t="s">
        <v>155</v>
      </c>
      <c r="W53" s="152">
        <f t="shared" ca="1" si="14"/>
        <v>106.68</v>
      </c>
      <c r="X53" s="155">
        <f t="shared" ca="1" si="15"/>
        <v>768.1</v>
      </c>
      <c r="Y53" s="156" t="s">
        <v>244</v>
      </c>
      <c r="Z53" t="str">
        <f t="shared" ca="1" si="16"/>
        <v>RA</v>
      </c>
      <c r="AA53" s="157">
        <f ca="1">IF($C53="S",IF($Z53="CP",$X53,IF($Z53="RA",(($X53)*QCI!$AA$3),0)),SomaAgrup)</f>
        <v>768.1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str">
        <f t="shared" ca="1" si="19"/>
        <v>SINAPI 94319</v>
      </c>
      <c r="AF53" s="160" t="str">
        <f t="shared" ca="1" si="20"/>
        <v>(abra o arquivo 'Referência 05-2023.xls)</v>
      </c>
      <c r="AG53" s="550">
        <f t="shared" ca="1" si="21"/>
        <v>0</v>
      </c>
      <c r="AH53" s="551">
        <f t="shared" ca="1" si="22"/>
        <v>0.24390000000000001</v>
      </c>
      <c r="AJ53" s="553">
        <v>7.2</v>
      </c>
      <c r="AL53" s="574"/>
      <c r="AM53" s="431">
        <f t="shared" ca="1" si="0"/>
        <v>768.1</v>
      </c>
      <c r="AN53" s="617">
        <f t="shared" ca="1" si="23"/>
        <v>106.68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2</v>
      </c>
      <c r="G54">
        <f t="shared" ca="1" si="6"/>
        <v>0</v>
      </c>
      <c r="H54">
        <f t="shared" ca="1" si="7"/>
        <v>0</v>
      </c>
      <c r="I54">
        <f t="shared" ca="1" si="8"/>
        <v>6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450</v>
      </c>
      <c r="Q54" s="149"/>
      <c r="R54" s="150" t="str">
        <f t="shared" ca="1" si="24"/>
        <v>(abra o arquivo 'Referência 05-2023.xls)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(abra o arquivo 'Referência 05-2023.xls)</v>
      </c>
      <c r="AG54" s="550">
        <f t="shared" ca="1" si="21"/>
        <v>0</v>
      </c>
      <c r="AH54" s="551">
        <f t="shared" ca="1" si="22"/>
        <v>0.24390000000000001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2</v>
      </c>
      <c r="G55">
        <f t="shared" ca="1" si="6"/>
        <v>0</v>
      </c>
      <c r="H55">
        <f t="shared" ca="1" si="7"/>
        <v>0</v>
      </c>
      <c r="I55">
        <f t="shared" ca="1" si="8"/>
        <v>6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(abra o arquivo 'Referência 05-2023.xls)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(abra o arquivo 'Referência 05-2023.xls)</v>
      </c>
      <c r="AG55" s="550">
        <f t="shared" ca="1" si="21"/>
        <v>0</v>
      </c>
      <c r="AH55" s="551">
        <f t="shared" ca="1" si="22"/>
        <v>0.24390000000000001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2</v>
      </c>
      <c r="G56">
        <f t="shared" ca="1" si="6"/>
        <v>0</v>
      </c>
      <c r="H56">
        <f t="shared" ca="1" si="7"/>
        <v>0</v>
      </c>
      <c r="I56">
        <f t="shared" ca="1" si="8"/>
        <v>6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(abra o arquivo 'Referência 05-2023.xls)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(abra o arquivo 'Referência 05-2023.xls)</v>
      </c>
      <c r="AG56" s="550">
        <f t="shared" ca="1" si="21"/>
        <v>0</v>
      </c>
      <c r="AH56" s="551">
        <f t="shared" ca="1" si="22"/>
        <v>0.24390000000000001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2</v>
      </c>
      <c r="G57">
        <f t="shared" ca="1" si="6"/>
        <v>0</v>
      </c>
      <c r="H57">
        <f t="shared" ca="1" si="7"/>
        <v>0</v>
      </c>
      <c r="I57">
        <f t="shared" ca="1" si="8"/>
        <v>6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(abra o arquivo 'Referência 05-2023.xls)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(abra o arquivo 'Referência 05-2023.xls)</v>
      </c>
      <c r="AG57" s="550">
        <f t="shared" ca="1" si="21"/>
        <v>0</v>
      </c>
      <c r="AH57" s="551">
        <f t="shared" ca="1" si="22"/>
        <v>0.24390000000000001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2</v>
      </c>
      <c r="G58">
        <f t="shared" ca="1" si="6"/>
        <v>0</v>
      </c>
      <c r="H58">
        <f t="shared" ca="1" si="7"/>
        <v>0</v>
      </c>
      <c r="I58">
        <f t="shared" ca="1" si="8"/>
        <v>6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(abra o arquivo 'Referência 05-2023.xls)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(abra o arquivo 'Referência 05-2023.xls)</v>
      </c>
      <c r="AG58" s="550">
        <f t="shared" ca="1" si="21"/>
        <v>0</v>
      </c>
      <c r="AH58" s="551">
        <f t="shared" ca="1" si="22"/>
        <v>0.24390000000000001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2</v>
      </c>
      <c r="G59">
        <f t="shared" ca="1" si="6"/>
        <v>0</v>
      </c>
      <c r="H59">
        <f t="shared" ca="1" si="7"/>
        <v>0</v>
      </c>
      <c r="I59">
        <f t="shared" ca="1" si="8"/>
        <v>6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(abra o arquivo 'Referência 05-2023.xls)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(abra o arquivo 'Referência 05-2023.xls)</v>
      </c>
      <c r="AG59" s="550">
        <f t="shared" ca="1" si="21"/>
        <v>0</v>
      </c>
      <c r="AH59" s="551">
        <f t="shared" ca="1" si="22"/>
        <v>0.24390000000000001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2</v>
      </c>
      <c r="G60">
        <f t="shared" ca="1" si="6"/>
        <v>0</v>
      </c>
      <c r="H60">
        <f t="shared" ca="1" si="7"/>
        <v>0</v>
      </c>
      <c r="I60">
        <f t="shared" ca="1" si="8"/>
        <v>6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(abra o arquivo 'Referência 05-2023.xls)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(abra o arquivo 'Referência 05-2023.xls)</v>
      </c>
      <c r="AG60" s="550">
        <f t="shared" ca="1" si="21"/>
        <v>0</v>
      </c>
      <c r="AH60" s="551">
        <f t="shared" ca="1" si="22"/>
        <v>0.24390000000000001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2</v>
      </c>
      <c r="G61">
        <f t="shared" ca="1" si="6"/>
        <v>0</v>
      </c>
      <c r="H61">
        <f t="shared" ca="1" si="7"/>
        <v>0</v>
      </c>
      <c r="I61">
        <f t="shared" ca="1" si="8"/>
        <v>6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(abra o arquivo 'Referência 05-2023.xls)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(abra o arquivo 'Referência 05-2023.xls)</v>
      </c>
      <c r="AG61" s="550">
        <f t="shared" ca="1" si="21"/>
        <v>0</v>
      </c>
      <c r="AH61" s="551">
        <f t="shared" ca="1" si="22"/>
        <v>0.24390000000000001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2</v>
      </c>
      <c r="G62">
        <f t="shared" ca="1" si="6"/>
        <v>0</v>
      </c>
      <c r="H62">
        <f t="shared" ca="1" si="7"/>
        <v>0</v>
      </c>
      <c r="I62">
        <f t="shared" ca="1" si="8"/>
        <v>6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(abra o arquivo 'Referência 05-2023.xls)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(abra o arquivo 'Referência 05-2023.xls)</v>
      </c>
      <c r="AG62" s="550">
        <f t="shared" ca="1" si="21"/>
        <v>0</v>
      </c>
      <c r="AH62" s="551">
        <f t="shared" ca="1" si="22"/>
        <v>0.24390000000000001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2</v>
      </c>
      <c r="G63">
        <f t="shared" ca="1" si="6"/>
        <v>0</v>
      </c>
      <c r="H63">
        <f t="shared" ca="1" si="7"/>
        <v>0</v>
      </c>
      <c r="I63">
        <f t="shared" ca="1" si="8"/>
        <v>6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(abra o arquivo 'Referência 05-2023.xls)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(abra o arquivo 'Referência 05-2023.xls)</v>
      </c>
      <c r="AG63" s="550">
        <f t="shared" ca="1" si="21"/>
        <v>0</v>
      </c>
      <c r="AH63" s="551">
        <f t="shared" ca="1" si="22"/>
        <v>0.24390000000000001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2</v>
      </c>
      <c r="G64">
        <f t="shared" ca="1" si="6"/>
        <v>0</v>
      </c>
      <c r="H64">
        <f t="shared" ca="1" si="7"/>
        <v>0</v>
      </c>
      <c r="I64">
        <f t="shared" ca="1" si="8"/>
        <v>6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(abra o arquivo 'Referência 05-2023.xls)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(abra o arquivo 'Referência 05-2023.xls)</v>
      </c>
      <c r="AG64" s="550">
        <f t="shared" ca="1" si="21"/>
        <v>0</v>
      </c>
      <c r="AH64" s="551">
        <f t="shared" ca="1" si="22"/>
        <v>0.24390000000000001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2</v>
      </c>
      <c r="G65">
        <f t="shared" ca="1" si="6"/>
        <v>0</v>
      </c>
      <c r="H65">
        <f t="shared" ca="1" si="7"/>
        <v>0</v>
      </c>
      <c r="I65">
        <f t="shared" ca="1" si="8"/>
        <v>6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(abra o arquivo 'Referência 05-2023.xls)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(abra o arquivo 'Referência 05-2023.xls)</v>
      </c>
      <c r="AG65" s="550">
        <f t="shared" ca="1" si="21"/>
        <v>0</v>
      </c>
      <c r="AH65" s="551">
        <f t="shared" ca="1" si="22"/>
        <v>0.24390000000000001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2</v>
      </c>
      <c r="G66">
        <f t="shared" ca="1" si="6"/>
        <v>0</v>
      </c>
      <c r="H66">
        <f t="shared" ca="1" si="7"/>
        <v>0</v>
      </c>
      <c r="I66">
        <f t="shared" ca="1" si="8"/>
        <v>6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(abra o arquivo 'Referência 05-2023.xls)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(abra o arquivo 'Referência 05-2023.xls)</v>
      </c>
      <c r="AG66" s="550">
        <f t="shared" ca="1" si="21"/>
        <v>0</v>
      </c>
      <c r="AH66" s="551">
        <f t="shared" ca="1" si="22"/>
        <v>0.24390000000000001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2</v>
      </c>
      <c r="G67">
        <f t="shared" ca="1" si="6"/>
        <v>0</v>
      </c>
      <c r="H67">
        <f t="shared" ca="1" si="7"/>
        <v>0</v>
      </c>
      <c r="I67">
        <f t="shared" ca="1" si="8"/>
        <v>6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(abra o arquivo 'Referência 05-2023.xls)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(abra o arquivo 'Referência 05-2023.xls)</v>
      </c>
      <c r="AG67" s="550">
        <f t="shared" ca="1" si="21"/>
        <v>0</v>
      </c>
      <c r="AH67" s="551">
        <f t="shared" ca="1" si="22"/>
        <v>0.24390000000000001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2</v>
      </c>
      <c r="G68">
        <f t="shared" ca="1" si="6"/>
        <v>0</v>
      </c>
      <c r="H68">
        <f t="shared" ca="1" si="7"/>
        <v>0</v>
      </c>
      <c r="I68">
        <f t="shared" ca="1" si="8"/>
        <v>6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(abra o arquivo 'Referência 05-2023.xls)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(abra o arquivo 'Referência 05-2023.xls)</v>
      </c>
      <c r="AG68" s="550">
        <f t="shared" ca="1" si="21"/>
        <v>0</v>
      </c>
      <c r="AH68" s="551">
        <f t="shared" ca="1" si="22"/>
        <v>0.24390000000000001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2</v>
      </c>
      <c r="G69">
        <f t="shared" ca="1" si="6"/>
        <v>0</v>
      </c>
      <c r="H69">
        <f t="shared" ca="1" si="7"/>
        <v>0</v>
      </c>
      <c r="I69">
        <f t="shared" ca="1" si="8"/>
        <v>6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(abra o arquivo 'Referência 05-2023.xls)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(abra o arquivo 'Referência 05-2023.xls)</v>
      </c>
      <c r="AG69" s="550">
        <f t="shared" ca="1" si="21"/>
        <v>0</v>
      </c>
      <c r="AH69" s="551">
        <f t="shared" ca="1" si="22"/>
        <v>0.24390000000000001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x14ac:dyDescent="0.2">
      <c r="A70">
        <f t="shared" si="1"/>
        <v>2</v>
      </c>
      <c r="B70">
        <f t="shared" ca="1" si="2"/>
        <v>2</v>
      </c>
      <c r="C70">
        <f t="shared" ca="1" si="3"/>
        <v>2</v>
      </c>
      <c r="D70">
        <f t="shared" ca="1" si="4"/>
        <v>35</v>
      </c>
      <c r="E70">
        <f ca="1">IF($C70=1,OFFSET(E70,-1,0)+MAX(1,COUNTIF(QCI!$A$13:$A$24,OFFSET(ORÇAMENTO!E70,-1,0))),OFFSET(E70,-1,0))</f>
        <v>1</v>
      </c>
      <c r="F70">
        <f t="shared" ca="1" si="5"/>
        <v>3</v>
      </c>
      <c r="G70">
        <f t="shared" ca="1" si="6"/>
        <v>0</v>
      </c>
      <c r="H70">
        <f t="shared" ca="1" si="7"/>
        <v>0</v>
      </c>
      <c r="I70">
        <f t="shared" ca="1" si="8"/>
        <v>0</v>
      </c>
      <c r="J70">
        <f t="shared" ca="1" si="9"/>
        <v>196</v>
      </c>
      <c r="K70">
        <f ca="1">IF(OR($C70="S",$C70=0),0,MATCH(OFFSET($D70,0,$C70)+IF($C70&lt;&gt;1,1,COUNTIF(QCI!$A$13:$A$24,ORÇAMENTO!E70)),OFFSET($D70,1,$C70,ROW($C$266)-ROW($C70)),0))</f>
        <v>35</v>
      </c>
      <c r="L70" s="144" t="str">
        <f t="shared" ca="1" si="10"/>
        <v>F</v>
      </c>
      <c r="M70" s="145" t="s">
        <v>195</v>
      </c>
      <c r="N70" s="146" t="str">
        <f t="shared" ca="1" si="11"/>
        <v>Nível 2</v>
      </c>
      <c r="O70" s="147" t="str">
        <f t="shared" ca="1" si="12"/>
        <v>1.3.</v>
      </c>
      <c r="P70" s="148" t="s">
        <v>246</v>
      </c>
      <c r="Q70" s="149"/>
      <c r="R70" s="150" t="s">
        <v>525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32037.71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32037.71</v>
      </c>
      <c r="AB70" s="158">
        <f t="shared" ca="1" si="17"/>
        <v>0</v>
      </c>
      <c r="AC70" s="159" t="str">
        <f t="shared" ca="1" si="18"/>
        <v/>
      </c>
      <c r="AD70" s="105">
        <f ca="1">IF(C70&lt;=CRONO.NivelExibicao,MAX($AD$15:OFFSET(AD70,-1,0))+IF($C70&lt;&gt;1,1,MAX(1,COUNTIF(QCI!$A$13:$A$24,OFFSET($E70,-1,0)))),"")</f>
        <v>4</v>
      </c>
      <c r="AE70" s="115" t="b">
        <f t="shared" ca="1" si="19"/>
        <v>0</v>
      </c>
      <c r="AF70" s="160" t="str">
        <f t="shared" ca="1" si="20"/>
        <v>(abra o arquivo 'Referência 05-2023.xls)</v>
      </c>
      <c r="AG70" s="550">
        <f t="shared" ca="1" si="21"/>
        <v>0</v>
      </c>
      <c r="AH70" s="551">
        <f t="shared" ca="1" si="22"/>
        <v>0.24390000000000001</v>
      </c>
      <c r="AJ70" s="553"/>
      <c r="AL70" s="574"/>
      <c r="AM70" s="431">
        <f t="shared" ca="1" si="0"/>
        <v>32037.71</v>
      </c>
      <c r="AN70" s="617">
        <f t="shared" ca="1" si="23"/>
        <v>0</v>
      </c>
    </row>
    <row r="71" spans="1:40" ht="38.25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3</v>
      </c>
      <c r="G71">
        <f t="shared" ca="1" si="6"/>
        <v>0</v>
      </c>
      <c r="H71">
        <f t="shared" ca="1" si="7"/>
        <v>0</v>
      </c>
      <c r="I71">
        <f t="shared" ca="1" si="8"/>
        <v>1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>F</v>
      </c>
      <c r="M71" s="145" t="s">
        <v>198</v>
      </c>
      <c r="N71" s="146" t="str">
        <f t="shared" ca="1" si="11"/>
        <v>Serviço</v>
      </c>
      <c r="O71" s="147" t="str">
        <f t="shared" ca="1" si="12"/>
        <v>1.3.1.</v>
      </c>
      <c r="P71" s="148" t="s">
        <v>246</v>
      </c>
      <c r="Q71" s="149" t="s">
        <v>519</v>
      </c>
      <c r="R71" s="150" t="str">
        <f t="shared" ca="1" si="24"/>
        <v>(abra o arquivo 'Referência 05-2023.xls)</v>
      </c>
      <c r="S71" s="151" t="str">
        <f t="shared" ca="1" si="13"/>
        <v>-</v>
      </c>
      <c r="T71" s="152">
        <f ca="1">OFFSET(CÁLCULO!H$15,ROW($T71)-ROW(T$15),0)</f>
        <v>6.75</v>
      </c>
      <c r="U71" s="153">
        <v>460.46</v>
      </c>
      <c r="V71" s="154" t="s">
        <v>155</v>
      </c>
      <c r="W71" s="152">
        <f t="shared" ca="1" si="14"/>
        <v>572.77</v>
      </c>
      <c r="X71" s="155">
        <f t="shared" ca="1" si="15"/>
        <v>3866.2</v>
      </c>
      <c r="Y71" s="156" t="s">
        <v>244</v>
      </c>
      <c r="Z71" t="str">
        <f t="shared" ca="1" si="16"/>
        <v>RA</v>
      </c>
      <c r="AA71" s="157">
        <f ca="1">IF($C71="S",IF($Z71="CP",$X71,IF($Z71="RA",(($X71)*QCI!$AA$3),0)),SomaAgrup)</f>
        <v>3866.2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str">
        <f t="shared" ca="1" si="19"/>
        <v>SINAPI 94965</v>
      </c>
      <c r="AF71" s="160" t="str">
        <f t="shared" ca="1" si="20"/>
        <v>(abra o arquivo 'Referência 05-2023.xls)</v>
      </c>
      <c r="AG71" s="550">
        <f t="shared" ca="1" si="21"/>
        <v>0</v>
      </c>
      <c r="AH71" s="551">
        <f t="shared" ca="1" si="22"/>
        <v>0.24390000000000001</v>
      </c>
      <c r="AJ71" s="553">
        <v>6.75</v>
      </c>
      <c r="AL71" s="574"/>
      <c r="AM71" s="431">
        <f t="shared" ca="1" si="0"/>
        <v>3866.2</v>
      </c>
      <c r="AN71" s="617">
        <f t="shared" ca="1" si="23"/>
        <v>572.77</v>
      </c>
    </row>
    <row r="72" spans="1:40" ht="38.25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3</v>
      </c>
      <c r="G72">
        <f t="shared" ca="1" si="6"/>
        <v>0</v>
      </c>
      <c r="H72">
        <f t="shared" ca="1" si="7"/>
        <v>0</v>
      </c>
      <c r="I72">
        <f t="shared" ca="1" si="8"/>
        <v>2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>F</v>
      </c>
      <c r="M72" s="145" t="s">
        <v>198</v>
      </c>
      <c r="N72" s="146" t="str">
        <f t="shared" ca="1" si="11"/>
        <v>Serviço</v>
      </c>
      <c r="O72" s="147" t="str">
        <f t="shared" ca="1" si="12"/>
        <v>1.3.2.</v>
      </c>
      <c r="P72" s="148" t="s">
        <v>246</v>
      </c>
      <c r="Q72" s="149" t="s">
        <v>520</v>
      </c>
      <c r="R72" s="150" t="str">
        <f t="shared" ca="1" si="24"/>
        <v>(abra o arquivo 'Referência 05-2023.xls)</v>
      </c>
      <c r="S72" s="151" t="str">
        <f t="shared" ca="1" si="13"/>
        <v>-</v>
      </c>
      <c r="T72" s="152">
        <f ca="1">OFFSET(CÁLCULO!H$15,ROW($T72)-ROW(T$15),0)</f>
        <v>134.69999999999999</v>
      </c>
      <c r="U72" s="153">
        <v>96.36</v>
      </c>
      <c r="V72" s="154" t="s">
        <v>155</v>
      </c>
      <c r="W72" s="152">
        <f t="shared" ca="1" si="14"/>
        <v>119.86</v>
      </c>
      <c r="X72" s="155">
        <f t="shared" ca="1" si="15"/>
        <v>16145.14</v>
      </c>
      <c r="Y72" s="156" t="s">
        <v>244</v>
      </c>
      <c r="Z72" t="str">
        <f t="shared" ca="1" si="16"/>
        <v>RA</v>
      </c>
      <c r="AA72" s="157">
        <f ca="1">IF($C72="S",IF($Z72="CP",$X72,IF($Z72="RA",(($X72)*QCI!$AA$3),0)),SomaAgrup)</f>
        <v>16145.14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str">
        <f t="shared" ca="1" si="19"/>
        <v>SINAPI 96536</v>
      </c>
      <c r="AF72" s="160" t="str">
        <f t="shared" ca="1" si="20"/>
        <v>(abra o arquivo 'Referência 05-2023.xls)</v>
      </c>
      <c r="AG72" s="550">
        <f t="shared" ca="1" si="21"/>
        <v>0</v>
      </c>
      <c r="AH72" s="551">
        <f t="shared" ca="1" si="22"/>
        <v>0.24390000000000001</v>
      </c>
      <c r="AJ72" s="553">
        <v>134.69999999999999</v>
      </c>
      <c r="AL72" s="574"/>
      <c r="AM72" s="431">
        <f t="shared" ca="1" si="0"/>
        <v>16145.14</v>
      </c>
      <c r="AN72" s="617">
        <f t="shared" ca="1" si="23"/>
        <v>119.86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3</v>
      </c>
      <c r="G73">
        <f t="shared" ca="1" si="6"/>
        <v>0</v>
      </c>
      <c r="H73">
        <f t="shared" ca="1" si="7"/>
        <v>0</v>
      </c>
      <c r="I73">
        <f t="shared" ca="1" si="8"/>
        <v>2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450</v>
      </c>
      <c r="Q73" s="149"/>
      <c r="R73" s="150" t="str">
        <f t="shared" ca="1" si="24"/>
        <v>(abra o arquivo 'Referência 05-2023.xls)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(abra o arquivo 'Referência 05-2023.xls)</v>
      </c>
      <c r="AG73" s="550">
        <f t="shared" ca="1" si="21"/>
        <v>0</v>
      </c>
      <c r="AH73" s="551">
        <f t="shared" ca="1" si="22"/>
        <v>0.24390000000000001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3</v>
      </c>
      <c r="G74">
        <f t="shared" ca="1" si="6"/>
        <v>0</v>
      </c>
      <c r="H74">
        <f t="shared" ca="1" si="7"/>
        <v>0</v>
      </c>
      <c r="I74">
        <f t="shared" ca="1" si="8"/>
        <v>2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450</v>
      </c>
      <c r="Q74" s="149"/>
      <c r="R74" s="150" t="str">
        <f ca="1">IF($C74="S",REFERENCIA.Descricao,"(digite a descrição aqui)")</f>
        <v>(abra o arquivo 'Referência 05-2023.xls)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(abra o arquivo 'Referência 05-2023.xls)</v>
      </c>
      <c r="AG74" s="550">
        <f t="shared" ca="1" si="21"/>
        <v>0</v>
      </c>
      <c r="AH74" s="551">
        <f t="shared" ca="1" si="22"/>
        <v>0.24390000000000001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3</v>
      </c>
      <c r="G75">
        <f t="shared" ca="1" si="6"/>
        <v>0</v>
      </c>
      <c r="H75">
        <f t="shared" ca="1" si="7"/>
        <v>0</v>
      </c>
      <c r="I75">
        <f t="shared" ca="1" si="8"/>
        <v>2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450</v>
      </c>
      <c r="Q75" s="149"/>
      <c r="R75" s="150" t="str">
        <f t="shared" ca="1" si="24"/>
        <v>(abra o arquivo 'Referência 05-2023.xls)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(abra o arquivo 'Referência 05-2023.xls)</v>
      </c>
      <c r="AG75" s="550">
        <f t="shared" ca="1" si="21"/>
        <v>0</v>
      </c>
      <c r="AH75" s="551">
        <f t="shared" ca="1" si="22"/>
        <v>0.24390000000000001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t="25.5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3</v>
      </c>
      <c r="G76">
        <f t="shared" ca="1" si="6"/>
        <v>0</v>
      </c>
      <c r="H76">
        <f t="shared" ca="1" si="7"/>
        <v>0</v>
      </c>
      <c r="I76">
        <f t="shared" ca="1" si="8"/>
        <v>3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>F</v>
      </c>
      <c r="M76" s="145" t="s">
        <v>198</v>
      </c>
      <c r="N76" s="146" t="str">
        <f t="shared" ca="1" si="11"/>
        <v>Serviço</v>
      </c>
      <c r="O76" s="147" t="str">
        <f t="shared" ca="1" si="12"/>
        <v>1.3.3.</v>
      </c>
      <c r="P76" s="148" t="s">
        <v>246</v>
      </c>
      <c r="Q76" s="149" t="s">
        <v>521</v>
      </c>
      <c r="R76" s="150" t="str">
        <f t="shared" ca="1" si="24"/>
        <v>(abra o arquivo 'Referência 05-2023.xls)</v>
      </c>
      <c r="S76" s="151" t="str">
        <f t="shared" ca="1" si="13"/>
        <v>-</v>
      </c>
      <c r="T76" s="152">
        <f ca="1">OFFSET(CÁLCULO!H$15,ROW($T76)-ROW(T$15),0)</f>
        <v>172</v>
      </c>
      <c r="U76" s="153">
        <v>19.260000000000002</v>
      </c>
      <c r="V76" s="154" t="s">
        <v>155</v>
      </c>
      <c r="W76" s="152">
        <f t="shared" ca="1" si="14"/>
        <v>23.96</v>
      </c>
      <c r="X76" s="155">
        <f t="shared" ca="1" si="15"/>
        <v>4121.12</v>
      </c>
      <c r="Y76" s="156" t="s">
        <v>244</v>
      </c>
      <c r="Z76" t="str">
        <f t="shared" ca="1" si="16"/>
        <v>RA</v>
      </c>
      <c r="AA76" s="157">
        <f ca="1">IF($C76="S",IF($Z76="CP",$X76,IF($Z76="RA",(($X76)*QCI!$AA$3),0)),SomaAgrup)</f>
        <v>4121.12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str">
        <f t="shared" ca="1" si="19"/>
        <v>SINAPI 96543</v>
      </c>
      <c r="AF76" s="160" t="str">
        <f t="shared" ca="1" si="20"/>
        <v>(abra o arquivo 'Referência 05-2023.xls)</v>
      </c>
      <c r="AG76" s="550">
        <f t="shared" ca="1" si="21"/>
        <v>0</v>
      </c>
      <c r="AH76" s="551">
        <f t="shared" ca="1" si="22"/>
        <v>0.24390000000000001</v>
      </c>
      <c r="AJ76" s="553">
        <v>172</v>
      </c>
      <c r="AL76" s="574"/>
      <c r="AM76" s="431">
        <f t="shared" ca="1" si="0"/>
        <v>4121.12</v>
      </c>
      <c r="AN76" s="617">
        <f t="shared" ca="1" si="23"/>
        <v>23.96</v>
      </c>
    </row>
    <row r="77" spans="1:40" ht="25.5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3</v>
      </c>
      <c r="G77">
        <f t="shared" ca="1" si="6"/>
        <v>0</v>
      </c>
      <c r="H77">
        <f t="shared" ca="1" si="7"/>
        <v>0</v>
      </c>
      <c r="I77">
        <f t="shared" ca="1" si="8"/>
        <v>4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>F</v>
      </c>
      <c r="M77" s="145" t="s">
        <v>198</v>
      </c>
      <c r="N77" s="146" t="str">
        <f t="shared" ca="1" si="11"/>
        <v>Serviço</v>
      </c>
      <c r="O77" s="147" t="str">
        <f t="shared" ca="1" si="12"/>
        <v>1.3.4.</v>
      </c>
      <c r="P77" s="148" t="s">
        <v>246</v>
      </c>
      <c r="Q77" s="149" t="s">
        <v>522</v>
      </c>
      <c r="R77" s="150" t="str">
        <f t="shared" ca="1" si="24"/>
        <v>(abra o arquivo 'Referência 05-2023.xls)</v>
      </c>
      <c r="S77" s="151" t="str">
        <f t="shared" ca="1" si="13"/>
        <v>-</v>
      </c>
      <c r="T77" s="152">
        <f ca="1">OFFSET(CÁLCULO!H$15,ROW($T77)-ROW(T$15),0)</f>
        <v>231.8</v>
      </c>
      <c r="U77" s="153">
        <v>15.59</v>
      </c>
      <c r="V77" s="154" t="s">
        <v>155</v>
      </c>
      <c r="W77" s="152">
        <f t="shared" ca="1" si="14"/>
        <v>19.39</v>
      </c>
      <c r="X77" s="155">
        <f t="shared" ca="1" si="15"/>
        <v>4494.6000000000004</v>
      </c>
      <c r="Y77" s="156" t="s">
        <v>244</v>
      </c>
      <c r="Z77" t="str">
        <f t="shared" ca="1" si="16"/>
        <v>RA</v>
      </c>
      <c r="AA77" s="157">
        <f ca="1">IF($C77="S",IF($Z77="CP",$X77,IF($Z77="RA",(($X77)*QCI!$AA$3),0)),SomaAgrup)</f>
        <v>4494.6000000000004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str">
        <f t="shared" ca="1" si="19"/>
        <v>SINAPI 96545</v>
      </c>
      <c r="AF77" s="160" t="str">
        <f t="shared" ca="1" si="20"/>
        <v>(abra o arquivo 'Referência 05-2023.xls)</v>
      </c>
      <c r="AG77" s="550">
        <f t="shared" ca="1" si="21"/>
        <v>0</v>
      </c>
      <c r="AH77" s="551">
        <f t="shared" ca="1" si="22"/>
        <v>0.24390000000000001</v>
      </c>
      <c r="AJ77" s="553">
        <v>231.8</v>
      </c>
      <c r="AL77" s="574"/>
      <c r="AM77" s="431">
        <f t="shared" ca="1" si="0"/>
        <v>4494.6000000000004</v>
      </c>
      <c r="AN77" s="617">
        <f t="shared" ca="1" si="23"/>
        <v>19.39</v>
      </c>
    </row>
    <row r="78" spans="1:40" ht="25.5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3</v>
      </c>
      <c r="G78">
        <f t="shared" ca="1" si="6"/>
        <v>0</v>
      </c>
      <c r="H78">
        <f t="shared" ca="1" si="7"/>
        <v>0</v>
      </c>
      <c r="I78">
        <f t="shared" ca="1" si="8"/>
        <v>5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>F</v>
      </c>
      <c r="M78" s="145" t="s">
        <v>198</v>
      </c>
      <c r="N78" s="146" t="str">
        <f t="shared" ca="1" si="11"/>
        <v>Serviço</v>
      </c>
      <c r="O78" s="147" t="str">
        <f t="shared" ca="1" si="12"/>
        <v>1.3.5.</v>
      </c>
      <c r="P78" s="148" t="s">
        <v>246</v>
      </c>
      <c r="Q78" s="149" t="s">
        <v>523</v>
      </c>
      <c r="R78" s="150" t="str">
        <f t="shared" ca="1" si="24"/>
        <v>(abra o arquivo 'Referência 05-2023.xls)</v>
      </c>
      <c r="S78" s="151" t="str">
        <f t="shared" ca="1" si="13"/>
        <v>-</v>
      </c>
      <c r="T78" s="152">
        <f ca="1">OFFSET(CÁLCULO!H$15,ROW($T78)-ROW(T$15),0)</f>
        <v>197.5</v>
      </c>
      <c r="U78" s="153">
        <v>13.64</v>
      </c>
      <c r="V78" s="154" t="s">
        <v>155</v>
      </c>
      <c r="W78" s="152">
        <f t="shared" ca="1" si="14"/>
        <v>16.97</v>
      </c>
      <c r="X78" s="155">
        <f t="shared" ca="1" si="15"/>
        <v>3351.58</v>
      </c>
      <c r="Y78" s="156" t="s">
        <v>244</v>
      </c>
      <c r="Z78" t="str">
        <f t="shared" ca="1" si="16"/>
        <v>RA</v>
      </c>
      <c r="AA78" s="157">
        <f ca="1">IF($C78="S",IF($Z78="CP",$X78,IF($Z78="RA",(($X78)*QCI!$AA$3),0)),SomaAgrup)</f>
        <v>3351.58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str">
        <f t="shared" ca="1" si="19"/>
        <v>SINAPI 96546</v>
      </c>
      <c r="AF78" s="160" t="str">
        <f t="shared" ca="1" si="20"/>
        <v>(abra o arquivo 'Referência 05-2023.xls)</v>
      </c>
      <c r="AG78" s="550">
        <f t="shared" ca="1" si="21"/>
        <v>0</v>
      </c>
      <c r="AH78" s="551">
        <f t="shared" ca="1" si="22"/>
        <v>0.24390000000000001</v>
      </c>
      <c r="AJ78" s="553">
        <v>197.5</v>
      </c>
      <c r="AL78" s="574"/>
      <c r="AM78" s="431">
        <f ca="1">$X78</f>
        <v>3351.58</v>
      </c>
      <c r="AN78" s="617">
        <f t="shared" ca="1" si="23"/>
        <v>16.97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3</v>
      </c>
      <c r="G79">
        <f t="shared" ca="1" si="6"/>
        <v>0</v>
      </c>
      <c r="H79">
        <f t="shared" ca="1" si="7"/>
        <v>0</v>
      </c>
      <c r="I79">
        <f t="shared" ca="1" si="8"/>
        <v>5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450</v>
      </c>
      <c r="Q79" s="149"/>
      <c r="R79" s="150" t="str">
        <f t="shared" ca="1" si="24"/>
        <v>(abra o arquivo 'Referência 05-2023.xls)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(abra o arquivo 'Referência 05-2023.xls)</v>
      </c>
      <c r="AG79" s="550">
        <f t="shared" ca="1" si="21"/>
        <v>0</v>
      </c>
      <c r="AH79" s="551">
        <f t="shared" ca="1" si="22"/>
        <v>0.24390000000000001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3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5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(abra o arquivo 'Referência 05-2023.xls)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(abra o arquivo 'Referência 05-2023.xls)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0.24390000000000001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3</v>
      </c>
      <c r="G81">
        <f t="shared" ca="1" si="30"/>
        <v>0</v>
      </c>
      <c r="H81">
        <f t="shared" ca="1" si="31"/>
        <v>0</v>
      </c>
      <c r="I81">
        <f t="shared" ca="1" si="32"/>
        <v>5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(abra o arquivo 'Referência 05-2023.xls)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(abra o arquivo 'Referência 05-2023.xls)</v>
      </c>
      <c r="AG81" s="550">
        <f t="shared" ca="1" si="46"/>
        <v>0</v>
      </c>
      <c r="AH81" s="551">
        <f t="shared" ca="1" si="47"/>
        <v>0.24390000000000001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t="25.5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3</v>
      </c>
      <c r="G82">
        <f t="shared" ca="1" si="30"/>
        <v>0</v>
      </c>
      <c r="H82">
        <f t="shared" ca="1" si="31"/>
        <v>0</v>
      </c>
      <c r="I82">
        <f t="shared" ca="1" si="32"/>
        <v>6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>F</v>
      </c>
      <c r="M82" s="145" t="s">
        <v>198</v>
      </c>
      <c r="N82" s="146" t="str">
        <f t="shared" ca="1" si="35"/>
        <v>Serviço</v>
      </c>
      <c r="O82" s="147" t="str">
        <f t="shared" ca="1" si="36"/>
        <v>1.3.6.</v>
      </c>
      <c r="P82" s="148" t="s">
        <v>246</v>
      </c>
      <c r="Q82" s="149" t="s">
        <v>526</v>
      </c>
      <c r="R82" s="150" t="str">
        <f t="shared" ca="1" si="37"/>
        <v>(abra o arquivo 'Referência 05-2023.xls)</v>
      </c>
      <c r="S82" s="151" t="str">
        <f t="shared" ca="1" si="38"/>
        <v>-</v>
      </c>
      <c r="T82" s="152">
        <f ca="1">OFFSET(CÁLCULO!H$15,ROW($T82)-ROW(T$15),0)</f>
        <v>2.75</v>
      </c>
      <c r="U82" s="153">
        <v>17.27</v>
      </c>
      <c r="V82" s="154" t="s">
        <v>155</v>
      </c>
      <c r="W82" s="152">
        <f t="shared" ca="1" si="39"/>
        <v>21.48</v>
      </c>
      <c r="X82" s="155">
        <f t="shared" ca="1" si="40"/>
        <v>59.07</v>
      </c>
      <c r="Y82" s="156" t="s">
        <v>244</v>
      </c>
      <c r="Z82" t="str">
        <f t="shared" ca="1" si="41"/>
        <v>RA</v>
      </c>
      <c r="AA82" s="157">
        <f ca="1">IF($C82="S",IF($Z82="CP",$X82,IF($Z82="RA",(($X82)*QCI!$AA$3),0)),SomaAgrup)</f>
        <v>59.07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str">
        <f t="shared" ca="1" si="44"/>
        <v>SINAPI 96544</v>
      </c>
      <c r="AF82" s="160" t="str">
        <f t="shared" ca="1" si="45"/>
        <v>(abra o arquivo 'Referência 05-2023.xls)</v>
      </c>
      <c r="AG82" s="550">
        <f t="shared" ca="1" si="46"/>
        <v>0</v>
      </c>
      <c r="AH82" s="551">
        <f t="shared" ca="1" si="47"/>
        <v>0.24390000000000001</v>
      </c>
      <c r="AJ82" s="553">
        <v>2.75</v>
      </c>
      <c r="AL82" s="574"/>
      <c r="AM82" s="431">
        <f t="shared" ca="1" si="48"/>
        <v>59.07</v>
      </c>
      <c r="AN82" s="617">
        <f t="shared" ca="1" si="49"/>
        <v>21.48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3</v>
      </c>
      <c r="G83">
        <f t="shared" ca="1" si="30"/>
        <v>0</v>
      </c>
      <c r="H83">
        <f t="shared" ca="1" si="31"/>
        <v>0</v>
      </c>
      <c r="I83">
        <f t="shared" ca="1" si="32"/>
        <v>6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(abra o arquivo 'Referência 05-2023.xls)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(abra o arquivo 'Referência 05-2023.xls)</v>
      </c>
      <c r="AG83" s="550">
        <f t="shared" ca="1" si="46"/>
        <v>0</v>
      </c>
      <c r="AH83" s="551">
        <f t="shared" ca="1" si="47"/>
        <v>0.24390000000000001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3</v>
      </c>
      <c r="G84">
        <f t="shared" ca="1" si="30"/>
        <v>0</v>
      </c>
      <c r="H84">
        <f t="shared" ca="1" si="31"/>
        <v>0</v>
      </c>
      <c r="I84">
        <f t="shared" ca="1" si="32"/>
        <v>6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(abra o arquivo 'Referência 05-2023.xls)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(abra o arquivo 'Referência 05-2023.xls)</v>
      </c>
      <c r="AG84" s="550">
        <f t="shared" ca="1" si="46"/>
        <v>0</v>
      </c>
      <c r="AH84" s="551">
        <f t="shared" ca="1" si="47"/>
        <v>0.24390000000000001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3</v>
      </c>
      <c r="G85">
        <f t="shared" ca="1" si="30"/>
        <v>0</v>
      </c>
      <c r="H85">
        <f t="shared" ca="1" si="31"/>
        <v>0</v>
      </c>
      <c r="I85">
        <f t="shared" ca="1" si="32"/>
        <v>6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(abra o arquivo 'Referência 05-2023.xls)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(abra o arquivo 'Referência 05-2023.xls)</v>
      </c>
      <c r="AG85" s="550">
        <f t="shared" ca="1" si="46"/>
        <v>0</v>
      </c>
      <c r="AH85" s="551">
        <f t="shared" ca="1" si="47"/>
        <v>0.24390000000000001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3</v>
      </c>
      <c r="G86">
        <f t="shared" ca="1" si="30"/>
        <v>0</v>
      </c>
      <c r="H86">
        <f t="shared" ca="1" si="31"/>
        <v>0</v>
      </c>
      <c r="I86">
        <f t="shared" ca="1" si="32"/>
        <v>6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(abra o arquivo 'Referência 05-2023.xls)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(abra o arquivo 'Referência 05-2023.xls)</v>
      </c>
      <c r="AG86" s="550">
        <f t="shared" ca="1" si="46"/>
        <v>0</v>
      </c>
      <c r="AH86" s="551">
        <f t="shared" ca="1" si="47"/>
        <v>0.24390000000000001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3</v>
      </c>
      <c r="G87">
        <f t="shared" ca="1" si="30"/>
        <v>0</v>
      </c>
      <c r="H87">
        <f t="shared" ca="1" si="31"/>
        <v>0</v>
      </c>
      <c r="I87">
        <f t="shared" ca="1" si="32"/>
        <v>6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(abra o arquivo 'Referência 05-2023.xls)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(abra o arquivo 'Referência 05-2023.xls)</v>
      </c>
      <c r="AG87" s="550">
        <f t="shared" ca="1" si="46"/>
        <v>0</v>
      </c>
      <c r="AH87" s="551">
        <f t="shared" ca="1" si="47"/>
        <v>0.24390000000000001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3</v>
      </c>
      <c r="G88">
        <f t="shared" ca="1" si="30"/>
        <v>0</v>
      </c>
      <c r="H88">
        <f t="shared" ca="1" si="31"/>
        <v>0</v>
      </c>
      <c r="I88">
        <f t="shared" ca="1" si="32"/>
        <v>6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(abra o arquivo 'Referência 05-2023.xls)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(abra o arquivo 'Referência 05-2023.xls)</v>
      </c>
      <c r="AG88" s="550">
        <f t="shared" ca="1" si="46"/>
        <v>0</v>
      </c>
      <c r="AH88" s="551">
        <f t="shared" ca="1" si="47"/>
        <v>0.24390000000000001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3</v>
      </c>
      <c r="G89">
        <f t="shared" ca="1" si="30"/>
        <v>0</v>
      </c>
      <c r="H89">
        <f t="shared" ca="1" si="31"/>
        <v>0</v>
      </c>
      <c r="I89">
        <f t="shared" ca="1" si="32"/>
        <v>6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(abra o arquivo 'Referência 05-2023.xls)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(abra o arquivo 'Referência 05-2023.xls)</v>
      </c>
      <c r="AG89" s="550">
        <f t="shared" ca="1" si="46"/>
        <v>0</v>
      </c>
      <c r="AH89" s="551">
        <f t="shared" ca="1" si="47"/>
        <v>0.24390000000000001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3</v>
      </c>
      <c r="G90">
        <f t="shared" ca="1" si="30"/>
        <v>0</v>
      </c>
      <c r="H90">
        <f t="shared" ca="1" si="31"/>
        <v>0</v>
      </c>
      <c r="I90">
        <f t="shared" ca="1" si="32"/>
        <v>6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(abra o arquivo 'Referência 05-2023.xls)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(abra o arquivo 'Referência 05-2023.xls)</v>
      </c>
      <c r="AG90" s="550">
        <f t="shared" ca="1" si="46"/>
        <v>0</v>
      </c>
      <c r="AH90" s="551">
        <f t="shared" ca="1" si="47"/>
        <v>0.24390000000000001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3</v>
      </c>
      <c r="G91">
        <f t="shared" ca="1" si="30"/>
        <v>0</v>
      </c>
      <c r="H91">
        <f t="shared" ca="1" si="31"/>
        <v>0</v>
      </c>
      <c r="I91">
        <f t="shared" ca="1" si="32"/>
        <v>6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(abra o arquivo 'Referência 05-2023.xls)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(abra o arquivo 'Referência 05-2023.xls)</v>
      </c>
      <c r="AG91" s="550">
        <f t="shared" ca="1" si="46"/>
        <v>0</v>
      </c>
      <c r="AH91" s="551">
        <f t="shared" ca="1" si="47"/>
        <v>0.24390000000000001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3</v>
      </c>
      <c r="G92">
        <f t="shared" ca="1" si="30"/>
        <v>0</v>
      </c>
      <c r="H92">
        <f t="shared" ca="1" si="31"/>
        <v>0</v>
      </c>
      <c r="I92">
        <f t="shared" ca="1" si="32"/>
        <v>6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(abra o arquivo 'Referência 05-2023.xls)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(abra o arquivo 'Referência 05-2023.xls)</v>
      </c>
      <c r="AG92" s="550">
        <f t="shared" ca="1" si="46"/>
        <v>0</v>
      </c>
      <c r="AH92" s="551">
        <f t="shared" ca="1" si="47"/>
        <v>0.24390000000000001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3</v>
      </c>
      <c r="G93">
        <f t="shared" ca="1" si="30"/>
        <v>0</v>
      </c>
      <c r="H93">
        <f t="shared" ca="1" si="31"/>
        <v>0</v>
      </c>
      <c r="I93">
        <f t="shared" ca="1" si="32"/>
        <v>6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(abra o arquivo 'Referência 05-2023.xls)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(abra o arquivo 'Referência 05-2023.xls)</v>
      </c>
      <c r="AG93" s="550">
        <f t="shared" ca="1" si="46"/>
        <v>0</v>
      </c>
      <c r="AH93" s="551">
        <f t="shared" ca="1" si="47"/>
        <v>0.24390000000000001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3</v>
      </c>
      <c r="G94">
        <f t="shared" ca="1" si="30"/>
        <v>0</v>
      </c>
      <c r="H94">
        <f t="shared" ca="1" si="31"/>
        <v>0</v>
      </c>
      <c r="I94">
        <f t="shared" ca="1" si="32"/>
        <v>6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(abra o arquivo 'Referência 05-2023.xls)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(abra o arquivo 'Referência 05-2023.xls)</v>
      </c>
      <c r="AG94" s="550">
        <f t="shared" ca="1" si="46"/>
        <v>0</v>
      </c>
      <c r="AH94" s="551">
        <f t="shared" ca="1" si="47"/>
        <v>0.24390000000000001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3</v>
      </c>
      <c r="G95">
        <f t="shared" ca="1" si="30"/>
        <v>0</v>
      </c>
      <c r="H95">
        <f t="shared" ca="1" si="31"/>
        <v>0</v>
      </c>
      <c r="I95">
        <f t="shared" ca="1" si="32"/>
        <v>6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(abra o arquivo 'Referência 05-2023.xls)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(abra o arquivo 'Referência 05-2023.xls)</v>
      </c>
      <c r="AG95" s="550">
        <f t="shared" ca="1" si="46"/>
        <v>0</v>
      </c>
      <c r="AH95" s="551">
        <f t="shared" ca="1" si="47"/>
        <v>0.24390000000000001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3</v>
      </c>
      <c r="G96">
        <f t="shared" ca="1" si="30"/>
        <v>0</v>
      </c>
      <c r="H96">
        <f t="shared" ca="1" si="31"/>
        <v>0</v>
      </c>
      <c r="I96">
        <f t="shared" ca="1" si="32"/>
        <v>6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(abra o arquivo 'Referência 05-2023.xls)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(abra o arquivo 'Referência 05-2023.xls)</v>
      </c>
      <c r="AG96" s="550">
        <f t="shared" ca="1" si="46"/>
        <v>0</v>
      </c>
      <c r="AH96" s="551">
        <f t="shared" ca="1" si="47"/>
        <v>0.24390000000000001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3</v>
      </c>
      <c r="G97">
        <f t="shared" ca="1" si="30"/>
        <v>0</v>
      </c>
      <c r="H97">
        <f t="shared" ca="1" si="31"/>
        <v>0</v>
      </c>
      <c r="I97">
        <f t="shared" ca="1" si="32"/>
        <v>6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(abra o arquivo 'Referência 05-2023.xls)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(abra o arquivo 'Referência 05-2023.xls)</v>
      </c>
      <c r="AG97" s="550">
        <f t="shared" ca="1" si="46"/>
        <v>0</v>
      </c>
      <c r="AH97" s="551">
        <f t="shared" ca="1" si="47"/>
        <v>0.24390000000000001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3</v>
      </c>
      <c r="G98">
        <f t="shared" ca="1" si="30"/>
        <v>0</v>
      </c>
      <c r="H98">
        <f t="shared" ca="1" si="31"/>
        <v>0</v>
      </c>
      <c r="I98">
        <f t="shared" ca="1" si="32"/>
        <v>6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(abra o arquivo 'Referência 05-2023.xls)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(abra o arquivo 'Referência 05-2023.xls)</v>
      </c>
      <c r="AG98" s="550">
        <f t="shared" ca="1" si="46"/>
        <v>0</v>
      </c>
      <c r="AH98" s="551">
        <f t="shared" ca="1" si="47"/>
        <v>0.24390000000000001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3</v>
      </c>
      <c r="G99">
        <f t="shared" ca="1" si="30"/>
        <v>0</v>
      </c>
      <c r="H99">
        <f t="shared" ca="1" si="31"/>
        <v>0</v>
      </c>
      <c r="I99">
        <f t="shared" ca="1" si="32"/>
        <v>6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(abra o arquivo 'Referência 05-2023.xls)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(abra o arquivo 'Referência 05-2023.xls)</v>
      </c>
      <c r="AG99" s="550">
        <f t="shared" ca="1" si="46"/>
        <v>0</v>
      </c>
      <c r="AH99" s="551">
        <f t="shared" ca="1" si="47"/>
        <v>0.24390000000000001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3</v>
      </c>
      <c r="G100">
        <f t="shared" ca="1" si="30"/>
        <v>0</v>
      </c>
      <c r="H100">
        <f t="shared" ca="1" si="31"/>
        <v>0</v>
      </c>
      <c r="I100">
        <f t="shared" ca="1" si="32"/>
        <v>6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(abra o arquivo 'Referência 05-2023.xls)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(abra o arquivo 'Referência 05-2023.xls)</v>
      </c>
      <c r="AG100" s="550">
        <f t="shared" ca="1" si="46"/>
        <v>0</v>
      </c>
      <c r="AH100" s="551">
        <f t="shared" ca="1" si="47"/>
        <v>0.24390000000000001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3</v>
      </c>
      <c r="G101">
        <f t="shared" ca="1" si="30"/>
        <v>0</v>
      </c>
      <c r="H101">
        <f t="shared" ca="1" si="31"/>
        <v>0</v>
      </c>
      <c r="I101">
        <f t="shared" ca="1" si="32"/>
        <v>6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(abra o arquivo 'Referência 05-2023.xls)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(abra o arquivo 'Referência 05-2023.xls)</v>
      </c>
      <c r="AG101" s="550">
        <f t="shared" ca="1" si="46"/>
        <v>0</v>
      </c>
      <c r="AH101" s="551">
        <f t="shared" ca="1" si="47"/>
        <v>0.24390000000000001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3</v>
      </c>
      <c r="G102">
        <f t="shared" ca="1" si="30"/>
        <v>0</v>
      </c>
      <c r="H102">
        <f t="shared" ca="1" si="31"/>
        <v>0</v>
      </c>
      <c r="I102">
        <f t="shared" ca="1" si="32"/>
        <v>6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(abra o arquivo 'Referência 05-2023.xls)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(abra o arquivo 'Referência 05-2023.xls)</v>
      </c>
      <c r="AG102" s="550">
        <f t="shared" ca="1" si="46"/>
        <v>0</v>
      </c>
      <c r="AH102" s="551">
        <f t="shared" ca="1" si="47"/>
        <v>0.24390000000000001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3</v>
      </c>
      <c r="G103">
        <f t="shared" ca="1" si="30"/>
        <v>0</v>
      </c>
      <c r="H103">
        <f t="shared" ca="1" si="31"/>
        <v>0</v>
      </c>
      <c r="I103">
        <f t="shared" ca="1" si="32"/>
        <v>6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(abra o arquivo 'Referência 05-2023.xls)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(abra o arquivo 'Referência 05-2023.xls)</v>
      </c>
      <c r="AG103" s="550">
        <f t="shared" ca="1" si="46"/>
        <v>0</v>
      </c>
      <c r="AH103" s="551">
        <f t="shared" ca="1" si="47"/>
        <v>0.24390000000000001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3</v>
      </c>
      <c r="G104">
        <f t="shared" ca="1" si="30"/>
        <v>0</v>
      </c>
      <c r="H104">
        <f t="shared" ca="1" si="31"/>
        <v>0</v>
      </c>
      <c r="I104">
        <f t="shared" ca="1" si="32"/>
        <v>6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(abra o arquivo 'Referência 05-2023.xls)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(abra o arquivo 'Referência 05-2023.xls)</v>
      </c>
      <c r="AG104" s="550">
        <f t="shared" ca="1" si="46"/>
        <v>0</v>
      </c>
      <c r="AH104" s="551">
        <f t="shared" ca="1" si="47"/>
        <v>0.24390000000000001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x14ac:dyDescent="0.2">
      <c r="A105">
        <f t="shared" si="25"/>
        <v>2</v>
      </c>
      <c r="B105">
        <f t="shared" ca="1" si="26"/>
        <v>2</v>
      </c>
      <c r="C105">
        <f t="shared" ca="1" si="27"/>
        <v>2</v>
      </c>
      <c r="D105">
        <f t="shared" ca="1" si="28"/>
        <v>21</v>
      </c>
      <c r="E105">
        <f ca="1">IF($C105=1,OFFSET(E105,-1,0)+MAX(1,COUNTIF(QCI!$A$13:$A$24,OFFSET(ORÇAMENTO!E105,-1,0))),OFFSET(E105,-1,0))</f>
        <v>1</v>
      </c>
      <c r="F105">
        <f t="shared" ca="1" si="29"/>
        <v>4</v>
      </c>
      <c r="G105">
        <f t="shared" ca="1" si="30"/>
        <v>0</v>
      </c>
      <c r="H105">
        <f t="shared" ca="1" si="31"/>
        <v>0</v>
      </c>
      <c r="I105">
        <f t="shared" ca="1" si="32"/>
        <v>0</v>
      </c>
      <c r="J105">
        <f t="shared" ca="1" si="33"/>
        <v>161</v>
      </c>
      <c r="K105">
        <f ca="1">IF(OR($C105="S",$C105=0),0,MATCH(OFFSET($D105,0,$C105)+IF($C105&lt;&gt;1,1,COUNTIF(QCI!$A$13:$A$24,ORÇAMENTO!E105)),OFFSET($D105,1,$C105,ROW($C$266)-ROW($C105)),0))</f>
        <v>21</v>
      </c>
      <c r="L105" s="144" t="str">
        <f t="shared" ca="1" si="34"/>
        <v>F</v>
      </c>
      <c r="M105" s="145" t="s">
        <v>195</v>
      </c>
      <c r="N105" s="146" t="str">
        <f t="shared" ca="1" si="35"/>
        <v>Nível 2</v>
      </c>
      <c r="O105" s="147" t="str">
        <f t="shared" ca="1" si="36"/>
        <v>1.4.</v>
      </c>
      <c r="P105" s="148" t="s">
        <v>246</v>
      </c>
      <c r="Q105" s="149"/>
      <c r="R105" s="150" t="s">
        <v>514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64380.74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64380.74</v>
      </c>
      <c r="AB105" s="158">
        <f t="shared" ca="1" si="42"/>
        <v>0</v>
      </c>
      <c r="AC105" s="159" t="str">
        <f t="shared" ca="1" si="43"/>
        <v/>
      </c>
      <c r="AD105" s="105">
        <f ca="1">IF(C105&lt;=CRONO.NivelExibicao,MAX($AD$15:OFFSET(AD105,-1,0))+IF($C105&lt;&gt;1,1,MAX(1,COUNTIF(QCI!$A$13:$A$24,OFFSET($E105,-1,0)))),"")</f>
        <v>5</v>
      </c>
      <c r="AE105" s="115" t="b">
        <f t="shared" ca="1" si="44"/>
        <v>0</v>
      </c>
      <c r="AF105" s="160" t="str">
        <f t="shared" ca="1" si="45"/>
        <v>(abra o arquivo 'Referência 05-2023.xls)</v>
      </c>
      <c r="AG105" s="550">
        <f t="shared" ca="1" si="46"/>
        <v>0</v>
      </c>
      <c r="AH105" s="551">
        <f t="shared" ca="1" si="47"/>
        <v>0.24390000000000001</v>
      </c>
      <c r="AJ105" s="553"/>
      <c r="AL105" s="574"/>
      <c r="AM105" s="431">
        <f t="shared" ca="1" si="48"/>
        <v>64380.74</v>
      </c>
      <c r="AN105" s="617">
        <f t="shared" ca="1" si="49"/>
        <v>0</v>
      </c>
    </row>
    <row r="106" spans="1:40" ht="5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4</v>
      </c>
      <c r="G106">
        <f t="shared" ca="1" si="30"/>
        <v>0</v>
      </c>
      <c r="H106">
        <f t="shared" ca="1" si="31"/>
        <v>0</v>
      </c>
      <c r="I106">
        <f t="shared" ca="1" si="32"/>
        <v>1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>F</v>
      </c>
      <c r="M106" s="145" t="s">
        <v>198</v>
      </c>
      <c r="N106" s="146" t="str">
        <f t="shared" ca="1" si="35"/>
        <v>Serviço</v>
      </c>
      <c r="O106" s="147" t="str">
        <f t="shared" ca="1" si="36"/>
        <v>1.4.1.</v>
      </c>
      <c r="P106" s="148" t="s">
        <v>246</v>
      </c>
      <c r="Q106" s="149" t="s">
        <v>462</v>
      </c>
      <c r="R106" s="150" t="str">
        <f t="shared" ca="1" si="37"/>
        <v>(abra o arquivo 'Referência 05-2023.xls)</v>
      </c>
      <c r="S106" s="151" t="str">
        <f t="shared" ca="1" si="38"/>
        <v>-</v>
      </c>
      <c r="T106" s="152">
        <f ca="1">OFFSET(CÁLCULO!H$15,ROW($T106)-ROW(T$15),0)</f>
        <v>240</v>
      </c>
      <c r="U106" s="153">
        <v>91.13</v>
      </c>
      <c r="V106" s="154" t="s">
        <v>155</v>
      </c>
      <c r="W106" s="152">
        <f t="shared" ca="1" si="39"/>
        <v>113.36</v>
      </c>
      <c r="X106" s="155">
        <f t="shared" ca="1" si="40"/>
        <v>27206.400000000001</v>
      </c>
      <c r="Y106" s="156" t="s">
        <v>244</v>
      </c>
      <c r="Z106" t="str">
        <f t="shared" ca="1" si="41"/>
        <v>RA</v>
      </c>
      <c r="AA106" s="157">
        <f ca="1">IF($C106="S",IF($Z106="CP",$X106,IF($Z106="RA",(($X106)*QCI!$AA$3),0)),SomaAgrup)</f>
        <v>27206.400000000001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str">
        <f t="shared" ca="1" si="44"/>
        <v>SINAPI 103330</v>
      </c>
      <c r="AF106" s="160" t="str">
        <f t="shared" ca="1" si="45"/>
        <v>(abra o arquivo 'Referência 05-2023.xls)</v>
      </c>
      <c r="AG106" s="550">
        <f t="shared" ca="1" si="46"/>
        <v>0</v>
      </c>
      <c r="AH106" s="551">
        <f t="shared" ca="1" si="47"/>
        <v>0.24390000000000001</v>
      </c>
      <c r="AJ106" s="553">
        <v>240</v>
      </c>
      <c r="AL106" s="574"/>
      <c r="AM106" s="431">
        <f t="shared" ca="1" si="48"/>
        <v>27206.400000000001</v>
      </c>
      <c r="AN106" s="617">
        <f t="shared" ca="1" si="49"/>
        <v>113.36</v>
      </c>
    </row>
    <row r="107" spans="1:40" ht="38.25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4</v>
      </c>
      <c r="G107">
        <f t="shared" ca="1" si="30"/>
        <v>0</v>
      </c>
      <c r="H107">
        <f t="shared" ca="1" si="31"/>
        <v>0</v>
      </c>
      <c r="I107">
        <f t="shared" ca="1" si="32"/>
        <v>2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>F</v>
      </c>
      <c r="M107" s="145" t="s">
        <v>198</v>
      </c>
      <c r="N107" s="146" t="str">
        <f t="shared" ca="1" si="35"/>
        <v>Serviço</v>
      </c>
      <c r="O107" s="147" t="str">
        <f t="shared" ca="1" si="36"/>
        <v>1.4.2.</v>
      </c>
      <c r="P107" s="148" t="s">
        <v>246</v>
      </c>
      <c r="Q107" s="149" t="s">
        <v>465</v>
      </c>
      <c r="R107" s="150" t="str">
        <f t="shared" ca="1" si="37"/>
        <v>(abra o arquivo 'Referência 05-2023.xls)</v>
      </c>
      <c r="S107" s="151" t="str">
        <f t="shared" ca="1" si="38"/>
        <v>-</v>
      </c>
      <c r="T107" s="152">
        <f ca="1">OFFSET(CÁLCULO!H$15,ROW($T107)-ROW(T$15),0)</f>
        <v>686</v>
      </c>
      <c r="U107" s="153">
        <v>4.71</v>
      </c>
      <c r="V107" s="154" t="s">
        <v>155</v>
      </c>
      <c r="W107" s="152">
        <f t="shared" ca="1" si="39"/>
        <v>5.86</v>
      </c>
      <c r="X107" s="155">
        <f t="shared" ca="1" si="40"/>
        <v>4019.96</v>
      </c>
      <c r="Y107" s="156" t="s">
        <v>244</v>
      </c>
      <c r="Z107" t="str">
        <f t="shared" ca="1" si="41"/>
        <v>RA</v>
      </c>
      <c r="AA107" s="157">
        <f ca="1">IF($C107="S",IF($Z107="CP",$X107,IF($Z107="RA",(($X107)*QCI!$AA$3),0)),SomaAgrup)</f>
        <v>4019.96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str">
        <f t="shared" ca="1" si="44"/>
        <v>SINAPI 87879</v>
      </c>
      <c r="AF107" s="160" t="str">
        <f t="shared" ca="1" si="45"/>
        <v>(abra o arquivo 'Referência 05-2023.xls)</v>
      </c>
      <c r="AG107" s="550">
        <f t="shared" ca="1" si="46"/>
        <v>0</v>
      </c>
      <c r="AH107" s="551">
        <f t="shared" ca="1" si="47"/>
        <v>0.24390000000000001</v>
      </c>
      <c r="AJ107" s="553">
        <v>686</v>
      </c>
      <c r="AL107" s="574"/>
      <c r="AM107" s="431">
        <f t="shared" ca="1" si="48"/>
        <v>4019.96</v>
      </c>
      <c r="AN107" s="617">
        <f t="shared" ca="1" si="49"/>
        <v>5.86</v>
      </c>
    </row>
    <row r="108" spans="1:40" ht="5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4</v>
      </c>
      <c r="G108">
        <f t="shared" ca="1" si="30"/>
        <v>0</v>
      </c>
      <c r="H108">
        <f t="shared" ca="1" si="31"/>
        <v>0</v>
      </c>
      <c r="I108">
        <f t="shared" ca="1" si="32"/>
        <v>3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>F</v>
      </c>
      <c r="M108" s="145" t="s">
        <v>198</v>
      </c>
      <c r="N108" s="146" t="str">
        <f t="shared" ca="1" si="35"/>
        <v>Serviço</v>
      </c>
      <c r="O108" s="147" t="str">
        <f t="shared" ca="1" si="36"/>
        <v>1.4.3.</v>
      </c>
      <c r="P108" s="148" t="s">
        <v>246</v>
      </c>
      <c r="Q108" s="149" t="s">
        <v>466</v>
      </c>
      <c r="R108" s="150" t="str">
        <f t="shared" ca="1" si="37"/>
        <v>(abra o arquivo 'Referência 05-2023.xls)</v>
      </c>
      <c r="S108" s="151" t="str">
        <f t="shared" ca="1" si="38"/>
        <v>-</v>
      </c>
      <c r="T108" s="152">
        <f ca="1">OFFSET(CÁLCULO!H$15,ROW($T108)-ROW(T$15),0)</f>
        <v>686</v>
      </c>
      <c r="U108" s="153">
        <v>38.85</v>
      </c>
      <c r="V108" s="154" t="s">
        <v>155</v>
      </c>
      <c r="W108" s="152">
        <f t="shared" ca="1" si="39"/>
        <v>48.33</v>
      </c>
      <c r="X108" s="155">
        <f t="shared" ca="1" si="40"/>
        <v>33154.379999999997</v>
      </c>
      <c r="Y108" s="156" t="s">
        <v>244</v>
      </c>
      <c r="Z108" t="str">
        <f t="shared" ca="1" si="41"/>
        <v>RA</v>
      </c>
      <c r="AA108" s="157">
        <f ca="1">IF($C108="S",IF($Z108="CP",$X108,IF($Z108="RA",(($X108)*QCI!$AA$3),0)),SomaAgrup)</f>
        <v>33154.379999999997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str">
        <f t="shared" ca="1" si="44"/>
        <v>SINAPI 87529</v>
      </c>
      <c r="AF108" s="160" t="str">
        <f t="shared" ca="1" si="45"/>
        <v>(abra o arquivo 'Referência 05-2023.xls)</v>
      </c>
      <c r="AG108" s="550">
        <f t="shared" ca="1" si="46"/>
        <v>0</v>
      </c>
      <c r="AH108" s="551">
        <f t="shared" ca="1" si="47"/>
        <v>0.24390000000000001</v>
      </c>
      <c r="AJ108" s="553">
        <v>686</v>
      </c>
      <c r="AL108" s="574"/>
      <c r="AM108" s="431">
        <f t="shared" ca="1" si="48"/>
        <v>33154.379999999997</v>
      </c>
      <c r="AN108" s="617">
        <f t="shared" ca="1" si="49"/>
        <v>48.33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4</v>
      </c>
      <c r="G109">
        <f t="shared" ca="1" si="30"/>
        <v>0</v>
      </c>
      <c r="H109">
        <f t="shared" ca="1" si="31"/>
        <v>0</v>
      </c>
      <c r="I109">
        <f t="shared" ca="1" si="32"/>
        <v>3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(abra o arquivo 'Referência 05-2023.xls)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(abra o arquivo 'Referência 05-2023.xls)</v>
      </c>
      <c r="AG109" s="550">
        <f t="shared" ca="1" si="46"/>
        <v>0</v>
      </c>
      <c r="AH109" s="551">
        <f t="shared" ca="1" si="47"/>
        <v>0.24390000000000001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4</v>
      </c>
      <c r="G110">
        <f t="shared" ca="1" si="30"/>
        <v>0</v>
      </c>
      <c r="H110">
        <f t="shared" ca="1" si="31"/>
        <v>0</v>
      </c>
      <c r="I110">
        <f t="shared" ca="1" si="32"/>
        <v>3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(abra o arquivo 'Referência 05-2023.xls)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(abra o arquivo 'Referência 05-2023.xls)</v>
      </c>
      <c r="AG110" s="550">
        <f t="shared" ca="1" si="46"/>
        <v>0</v>
      </c>
      <c r="AH110" s="551">
        <f t="shared" ca="1" si="47"/>
        <v>0.24390000000000001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4</v>
      </c>
      <c r="G111">
        <f t="shared" ca="1" si="30"/>
        <v>0</v>
      </c>
      <c r="H111">
        <f t="shared" ca="1" si="31"/>
        <v>0</v>
      </c>
      <c r="I111">
        <f t="shared" ca="1" si="32"/>
        <v>3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(abra o arquivo 'Referência 05-2023.xls)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(abra o arquivo 'Referência 05-2023.xls)</v>
      </c>
      <c r="AG111" s="550">
        <f t="shared" ca="1" si="46"/>
        <v>0</v>
      </c>
      <c r="AH111" s="551">
        <f t="shared" ca="1" si="47"/>
        <v>0.24390000000000001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4</v>
      </c>
      <c r="G112">
        <f t="shared" ca="1" si="30"/>
        <v>0</v>
      </c>
      <c r="H112">
        <f t="shared" ca="1" si="31"/>
        <v>0</v>
      </c>
      <c r="I112">
        <f t="shared" ca="1" si="32"/>
        <v>3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(abra o arquivo 'Referência 05-2023.xls)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(abra o arquivo 'Referência 05-2023.xls)</v>
      </c>
      <c r="AG112" s="550">
        <f t="shared" ca="1" si="46"/>
        <v>0</v>
      </c>
      <c r="AH112" s="551">
        <f t="shared" ca="1" si="47"/>
        <v>0.24390000000000001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4</v>
      </c>
      <c r="G113">
        <f t="shared" ca="1" si="30"/>
        <v>0</v>
      </c>
      <c r="H113">
        <f t="shared" ca="1" si="31"/>
        <v>0</v>
      </c>
      <c r="I113">
        <f t="shared" ca="1" si="32"/>
        <v>3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(abra o arquivo 'Referência 05-2023.xls)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(abra o arquivo 'Referência 05-2023.xls)</v>
      </c>
      <c r="AG113" s="550">
        <f t="shared" ca="1" si="46"/>
        <v>0</v>
      </c>
      <c r="AH113" s="551">
        <f t="shared" ca="1" si="47"/>
        <v>0.24390000000000001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4</v>
      </c>
      <c r="G114">
        <f t="shared" ca="1" si="30"/>
        <v>0</v>
      </c>
      <c r="H114">
        <f t="shared" ca="1" si="31"/>
        <v>0</v>
      </c>
      <c r="I114">
        <f t="shared" ca="1" si="32"/>
        <v>3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(abra o arquivo 'Referência 05-2023.xls)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(abra o arquivo 'Referência 05-2023.xls)</v>
      </c>
      <c r="AG114" s="550">
        <f t="shared" ca="1" si="46"/>
        <v>0</v>
      </c>
      <c r="AH114" s="551">
        <f t="shared" ca="1" si="47"/>
        <v>0.24390000000000001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4</v>
      </c>
      <c r="G115">
        <f t="shared" ca="1" si="30"/>
        <v>0</v>
      </c>
      <c r="H115">
        <f t="shared" ca="1" si="31"/>
        <v>0</v>
      </c>
      <c r="I115">
        <f t="shared" ca="1" si="32"/>
        <v>3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(abra o arquivo 'Referência 05-2023.xls)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(abra o arquivo 'Referência 05-2023.xls)</v>
      </c>
      <c r="AG115" s="550">
        <f t="shared" ca="1" si="46"/>
        <v>0</v>
      </c>
      <c r="AH115" s="551">
        <f t="shared" ca="1" si="47"/>
        <v>0.24390000000000001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4</v>
      </c>
      <c r="G116">
        <f t="shared" ca="1" si="30"/>
        <v>0</v>
      </c>
      <c r="H116">
        <f t="shared" ca="1" si="31"/>
        <v>0</v>
      </c>
      <c r="I116">
        <f t="shared" ca="1" si="32"/>
        <v>3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(abra o arquivo 'Referência 05-2023.xls)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(abra o arquivo 'Referência 05-2023.xls)</v>
      </c>
      <c r="AG116" s="550">
        <f t="shared" ca="1" si="46"/>
        <v>0</v>
      </c>
      <c r="AH116" s="551">
        <f t="shared" ca="1" si="47"/>
        <v>0.24390000000000001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4</v>
      </c>
      <c r="G117">
        <f t="shared" ca="1" si="30"/>
        <v>0</v>
      </c>
      <c r="H117">
        <f t="shared" ca="1" si="31"/>
        <v>0</v>
      </c>
      <c r="I117">
        <f t="shared" ca="1" si="32"/>
        <v>3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(abra o arquivo 'Referência 05-2023.xls)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(abra o arquivo 'Referência 05-2023.xls)</v>
      </c>
      <c r="AG117" s="550">
        <f t="shared" ca="1" si="46"/>
        <v>0</v>
      </c>
      <c r="AH117" s="551">
        <f t="shared" ca="1" si="47"/>
        <v>0.24390000000000001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4</v>
      </c>
      <c r="G118">
        <f t="shared" ca="1" si="30"/>
        <v>0</v>
      </c>
      <c r="H118">
        <f t="shared" ca="1" si="31"/>
        <v>0</v>
      </c>
      <c r="I118">
        <f t="shared" ca="1" si="32"/>
        <v>3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(abra o arquivo 'Referência 05-2023.xls)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(abra o arquivo 'Referência 05-2023.xls)</v>
      </c>
      <c r="AG118" s="550">
        <f t="shared" ca="1" si="46"/>
        <v>0</v>
      </c>
      <c r="AH118" s="551">
        <f t="shared" ca="1" si="47"/>
        <v>0.24390000000000001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4</v>
      </c>
      <c r="G119">
        <f t="shared" ca="1" si="30"/>
        <v>0</v>
      </c>
      <c r="H119">
        <f t="shared" ca="1" si="31"/>
        <v>0</v>
      </c>
      <c r="I119">
        <f t="shared" ca="1" si="32"/>
        <v>3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(abra o arquivo 'Referência 05-2023.xls)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(abra o arquivo 'Referência 05-2023.xls)</v>
      </c>
      <c r="AG119" s="550">
        <f t="shared" ca="1" si="46"/>
        <v>0</v>
      </c>
      <c r="AH119" s="551">
        <f t="shared" ca="1" si="47"/>
        <v>0.24390000000000001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4</v>
      </c>
      <c r="G120">
        <f t="shared" ca="1" si="30"/>
        <v>0</v>
      </c>
      <c r="H120">
        <f t="shared" ca="1" si="31"/>
        <v>0</v>
      </c>
      <c r="I120">
        <f t="shared" ca="1" si="32"/>
        <v>3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(abra o arquivo 'Referência 05-2023.xls)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(abra o arquivo 'Referência 05-2023.xls)</v>
      </c>
      <c r="AG120" s="550">
        <f t="shared" ca="1" si="46"/>
        <v>0</v>
      </c>
      <c r="AH120" s="551">
        <f t="shared" ca="1" si="47"/>
        <v>0.24390000000000001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4</v>
      </c>
      <c r="G121">
        <f t="shared" ca="1" si="30"/>
        <v>0</v>
      </c>
      <c r="H121">
        <f t="shared" ca="1" si="31"/>
        <v>0</v>
      </c>
      <c r="I121">
        <f t="shared" ca="1" si="32"/>
        <v>3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(abra o arquivo 'Referência 05-2023.xls)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(abra o arquivo 'Referência 05-2023.xls)</v>
      </c>
      <c r="AG121" s="550">
        <f t="shared" ca="1" si="46"/>
        <v>0</v>
      </c>
      <c r="AH121" s="551">
        <f t="shared" ca="1" si="47"/>
        <v>0.24390000000000001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4</v>
      </c>
      <c r="G122">
        <f t="shared" ca="1" si="30"/>
        <v>0</v>
      </c>
      <c r="H122">
        <f t="shared" ca="1" si="31"/>
        <v>0</v>
      </c>
      <c r="I122">
        <f t="shared" ca="1" si="32"/>
        <v>3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(abra o arquivo 'Referência 05-2023.xls)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(abra o arquivo 'Referência 05-2023.xls)</v>
      </c>
      <c r="AG122" s="550">
        <f t="shared" ca="1" si="46"/>
        <v>0</v>
      </c>
      <c r="AH122" s="551">
        <f t="shared" ca="1" si="47"/>
        <v>0.24390000000000001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4</v>
      </c>
      <c r="G123">
        <f t="shared" ca="1" si="30"/>
        <v>0</v>
      </c>
      <c r="H123">
        <f t="shared" ca="1" si="31"/>
        <v>0</v>
      </c>
      <c r="I123">
        <f t="shared" ca="1" si="32"/>
        <v>3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(abra o arquivo 'Referência 05-2023.xls)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(abra o arquivo 'Referência 05-2023.xls)</v>
      </c>
      <c r="AG123" s="550">
        <f t="shared" ca="1" si="46"/>
        <v>0</v>
      </c>
      <c r="AH123" s="551">
        <f t="shared" ca="1" si="47"/>
        <v>0.24390000000000001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4</v>
      </c>
      <c r="G124">
        <f t="shared" ca="1" si="30"/>
        <v>0</v>
      </c>
      <c r="H124">
        <f t="shared" ca="1" si="31"/>
        <v>0</v>
      </c>
      <c r="I124">
        <f t="shared" ca="1" si="32"/>
        <v>3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(abra o arquivo 'Referência 05-2023.xls)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(abra o arquivo 'Referência 05-2023.xls)</v>
      </c>
      <c r="AG124" s="550">
        <f t="shared" ca="1" si="46"/>
        <v>0</v>
      </c>
      <c r="AH124" s="551">
        <f t="shared" ca="1" si="47"/>
        <v>0.24390000000000001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4</v>
      </c>
      <c r="G125">
        <f t="shared" ca="1" si="30"/>
        <v>0</v>
      </c>
      <c r="H125">
        <f t="shared" ca="1" si="31"/>
        <v>0</v>
      </c>
      <c r="I125">
        <f t="shared" ca="1" si="32"/>
        <v>3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(abra o arquivo 'Referência 05-2023.xls)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(abra o arquivo 'Referência 05-2023.xls)</v>
      </c>
      <c r="AG125" s="550">
        <f t="shared" ca="1" si="46"/>
        <v>0</v>
      </c>
      <c r="AH125" s="551">
        <f t="shared" ca="1" si="47"/>
        <v>0.24390000000000001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x14ac:dyDescent="0.2">
      <c r="A126">
        <f t="shared" si="25"/>
        <v>2</v>
      </c>
      <c r="B126">
        <f t="shared" ca="1" si="26"/>
        <v>2</v>
      </c>
      <c r="C126">
        <f t="shared" ca="1" si="27"/>
        <v>2</v>
      </c>
      <c r="D126">
        <f t="shared" ca="1" si="28"/>
        <v>15</v>
      </c>
      <c r="E126">
        <f ca="1">IF($C126=1,OFFSET(E126,-1,0)+MAX(1,COUNTIF(QCI!$A$13:$A$24,OFFSET(ORÇAMENTO!E126,-1,0))),OFFSET(E126,-1,0))</f>
        <v>1</v>
      </c>
      <c r="F126">
        <f t="shared" ca="1" si="29"/>
        <v>5</v>
      </c>
      <c r="G126">
        <f t="shared" ca="1" si="30"/>
        <v>0</v>
      </c>
      <c r="H126">
        <f t="shared" ca="1" si="31"/>
        <v>0</v>
      </c>
      <c r="I126">
        <f t="shared" ca="1" si="32"/>
        <v>0</v>
      </c>
      <c r="J126">
        <f t="shared" ca="1" si="33"/>
        <v>140</v>
      </c>
      <c r="K126">
        <f ca="1">IF(OR($C126="S",$C126=0),0,MATCH(OFFSET($D126,0,$C126)+IF($C126&lt;&gt;1,1,COUNTIF(QCI!$A$13:$A$24,ORÇAMENTO!E126)),OFFSET($D126,1,$C126,ROW($C$266)-ROW($C126)),0))</f>
        <v>15</v>
      </c>
      <c r="L126" s="144" t="str">
        <f t="shared" ca="1" si="34"/>
        <v>F</v>
      </c>
      <c r="M126" s="145" t="s">
        <v>195</v>
      </c>
      <c r="N126" s="146" t="str">
        <f t="shared" ca="1" si="35"/>
        <v>Nível 2</v>
      </c>
      <c r="O126" s="147" t="str">
        <f t="shared" ca="1" si="36"/>
        <v>1.5.</v>
      </c>
      <c r="P126" s="148" t="s">
        <v>246</v>
      </c>
      <c r="Q126" s="149"/>
      <c r="R126" s="150" t="s">
        <v>463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172690.64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172690.64</v>
      </c>
      <c r="AB126" s="158">
        <f t="shared" ca="1" si="42"/>
        <v>0</v>
      </c>
      <c r="AC126" s="159" t="str">
        <f t="shared" ca="1" si="43"/>
        <v/>
      </c>
      <c r="AD126" s="105">
        <f ca="1">IF(C126&lt;=CRONO.NivelExibicao,MAX($AD$15:OFFSET(AD126,-1,0))+IF($C126&lt;&gt;1,1,MAX(1,COUNTIF(QCI!$A$13:$A$24,OFFSET($E126,-1,0)))),"")</f>
        <v>6</v>
      </c>
      <c r="AE126" s="115" t="b">
        <f t="shared" ca="1" si="44"/>
        <v>0</v>
      </c>
      <c r="AF126" s="160" t="str">
        <f t="shared" ca="1" si="45"/>
        <v>(abra o arquivo 'Referência 05-2023.xls)</v>
      </c>
      <c r="AG126" s="550">
        <f t="shared" ca="1" si="46"/>
        <v>0</v>
      </c>
      <c r="AH126" s="551">
        <f t="shared" ca="1" si="47"/>
        <v>0.24390000000000001</v>
      </c>
      <c r="AJ126" s="553"/>
      <c r="AL126" s="574"/>
      <c r="AM126" s="431">
        <f t="shared" ca="1" si="48"/>
        <v>172690.64</v>
      </c>
      <c r="AN126" s="617">
        <f t="shared" ca="1" si="49"/>
        <v>0</v>
      </c>
    </row>
    <row r="127" spans="1:40" ht="25.5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5</v>
      </c>
      <c r="G127">
        <f t="shared" ca="1" si="30"/>
        <v>0</v>
      </c>
      <c r="H127">
        <f t="shared" ca="1" si="31"/>
        <v>0</v>
      </c>
      <c r="I127">
        <f t="shared" ca="1" si="32"/>
        <v>1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>F</v>
      </c>
      <c r="M127" s="145" t="s">
        <v>198</v>
      </c>
      <c r="N127" s="146" t="str">
        <f t="shared" ca="1" si="35"/>
        <v>Serviço</v>
      </c>
      <c r="O127" s="147" t="str">
        <f t="shared" ca="1" si="36"/>
        <v>1.5.1.</v>
      </c>
      <c r="P127" s="148" t="s">
        <v>246</v>
      </c>
      <c r="Q127" s="149" t="s">
        <v>467</v>
      </c>
      <c r="R127" s="150" t="str">
        <f t="shared" ca="1" si="37"/>
        <v>(abra o arquivo 'Referência 05-2023.xls)</v>
      </c>
      <c r="S127" s="151" t="str">
        <f t="shared" ca="1" si="38"/>
        <v>-</v>
      </c>
      <c r="T127" s="152">
        <f ca="1">OFFSET(CÁLCULO!H$15,ROW($T127)-ROW(T$15),0)</f>
        <v>160</v>
      </c>
      <c r="U127" s="153">
        <v>124.38</v>
      </c>
      <c r="V127" s="154" t="s">
        <v>155</v>
      </c>
      <c r="W127" s="152">
        <f t="shared" ca="1" si="39"/>
        <v>154.72</v>
      </c>
      <c r="X127" s="155">
        <f t="shared" ca="1" si="40"/>
        <v>24755.200000000001</v>
      </c>
      <c r="Y127" s="156" t="s">
        <v>244</v>
      </c>
      <c r="Z127" t="str">
        <f t="shared" ca="1" si="41"/>
        <v>RA</v>
      </c>
      <c r="AA127" s="157">
        <f ca="1">IF($C127="S",IF($Z127="CP",$X127,IF($Z127="RA",(($X127)*QCI!$AA$3),0)),SomaAgrup)</f>
        <v>24755.200000000001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str">
        <f t="shared" ca="1" si="44"/>
        <v>SINAPI 96622</v>
      </c>
      <c r="AF127" s="160" t="str">
        <f t="shared" ca="1" si="45"/>
        <v>(abra o arquivo 'Referência 05-2023.xls)</v>
      </c>
      <c r="AG127" s="550">
        <f t="shared" ca="1" si="46"/>
        <v>0</v>
      </c>
      <c r="AH127" s="551">
        <f t="shared" ca="1" si="47"/>
        <v>0.24390000000000001</v>
      </c>
      <c r="AJ127" s="553">
        <v>160</v>
      </c>
      <c r="AL127" s="574"/>
      <c r="AM127" s="431">
        <f t="shared" ca="1" si="48"/>
        <v>24755.200000000001</v>
      </c>
      <c r="AN127" s="617">
        <f t="shared" ca="1" si="49"/>
        <v>154.72</v>
      </c>
    </row>
    <row r="128" spans="1:40" ht="38.25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5</v>
      </c>
      <c r="G128">
        <f t="shared" ca="1" si="30"/>
        <v>0</v>
      </c>
      <c r="H128">
        <f t="shared" ca="1" si="31"/>
        <v>0</v>
      </c>
      <c r="I128">
        <f t="shared" ca="1" si="32"/>
        <v>2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>F</v>
      </c>
      <c r="M128" s="145" t="s">
        <v>198</v>
      </c>
      <c r="N128" s="146" t="str">
        <f t="shared" ca="1" si="35"/>
        <v>Serviço</v>
      </c>
      <c r="O128" s="147" t="str">
        <f t="shared" ca="1" si="36"/>
        <v>1.5.2.</v>
      </c>
      <c r="P128" s="148" t="s">
        <v>246</v>
      </c>
      <c r="Q128" s="149" t="s">
        <v>464</v>
      </c>
      <c r="R128" s="150" t="str">
        <f t="shared" ca="1" si="37"/>
        <v>(abra o arquivo 'Referência 05-2023.xls)</v>
      </c>
      <c r="S128" s="151" t="str">
        <f t="shared" ca="1" si="38"/>
        <v>-</v>
      </c>
      <c r="T128" s="152">
        <f ca="1">OFFSET(CÁLCULO!H$15,ROW($T128)-ROW(T$15),0)</f>
        <v>110</v>
      </c>
      <c r="U128" s="153">
        <v>91.37</v>
      </c>
      <c r="V128" s="154" t="s">
        <v>155</v>
      </c>
      <c r="W128" s="152">
        <f t="shared" ca="1" si="39"/>
        <v>113.66</v>
      </c>
      <c r="X128" s="155">
        <f t="shared" ca="1" si="40"/>
        <v>12502.6</v>
      </c>
      <c r="Y128" s="156" t="s">
        <v>244</v>
      </c>
      <c r="Z128" t="str">
        <f t="shared" ca="1" si="41"/>
        <v>RA</v>
      </c>
      <c r="AA128" s="157">
        <f ca="1">IF($C128="S",IF($Z128="CP",$X128,IF($Z128="RA",(($X128)*QCI!$AA$3),0)),SomaAgrup)</f>
        <v>12502.6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str">
        <f t="shared" ca="1" si="44"/>
        <v>SINAPI 87257</v>
      </c>
      <c r="AF128" s="160" t="str">
        <f t="shared" ca="1" si="45"/>
        <v>(abra o arquivo 'Referência 05-2023.xls)</v>
      </c>
      <c r="AG128" s="550">
        <f t="shared" ca="1" si="46"/>
        <v>0</v>
      </c>
      <c r="AH128" s="551">
        <f t="shared" ca="1" si="47"/>
        <v>0.24390000000000001</v>
      </c>
      <c r="AJ128" s="553">
        <v>110</v>
      </c>
      <c r="AL128" s="574"/>
      <c r="AM128" s="431">
        <f t="shared" ca="1" si="48"/>
        <v>12502.6</v>
      </c>
      <c r="AN128" s="617">
        <f t="shared" ca="1" si="49"/>
        <v>113.66</v>
      </c>
    </row>
    <row r="129" spans="1:40" ht="25.5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5</v>
      </c>
      <c r="G129">
        <f t="shared" ca="1" si="30"/>
        <v>0</v>
      </c>
      <c r="H129">
        <f t="shared" ca="1" si="31"/>
        <v>0</v>
      </c>
      <c r="I129">
        <f t="shared" ca="1" si="32"/>
        <v>3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>F</v>
      </c>
      <c r="M129" s="145" t="s">
        <v>198</v>
      </c>
      <c r="N129" s="146" t="str">
        <f t="shared" ca="1" si="35"/>
        <v>Serviço</v>
      </c>
      <c r="O129" s="147" t="str">
        <f t="shared" ca="1" si="36"/>
        <v>1.5.3.</v>
      </c>
      <c r="P129" s="148" t="s">
        <v>246</v>
      </c>
      <c r="Q129" s="149" t="s">
        <v>468</v>
      </c>
      <c r="R129" s="150" t="str">
        <f t="shared" ca="1" si="37"/>
        <v>(abra o arquivo 'Referência 05-2023.xls)</v>
      </c>
      <c r="S129" s="151" t="str">
        <f t="shared" ca="1" si="38"/>
        <v>-</v>
      </c>
      <c r="T129" s="152">
        <f ca="1">OFFSET(CÁLCULO!H$15,ROW($T129)-ROW(T$15),0)</f>
        <v>160</v>
      </c>
      <c r="U129" s="153">
        <v>31.05</v>
      </c>
      <c r="V129" s="154" t="s">
        <v>155</v>
      </c>
      <c r="W129" s="152">
        <f t="shared" ca="1" si="39"/>
        <v>38.619999999999997</v>
      </c>
      <c r="X129" s="155">
        <f t="shared" ca="1" si="40"/>
        <v>6179.2</v>
      </c>
      <c r="Y129" s="156" t="s">
        <v>244</v>
      </c>
      <c r="Z129" t="str">
        <f t="shared" ca="1" si="41"/>
        <v>RA</v>
      </c>
      <c r="AA129" s="157">
        <f ca="1">IF($C129="S",IF($Z129="CP",$X129,IF($Z129="RA",(($X129)*QCI!$AA$3),0)),SomaAgrup)</f>
        <v>6179.2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str">
        <f t="shared" ca="1" si="44"/>
        <v>SINAPI 95241</v>
      </c>
      <c r="AF129" s="160" t="str">
        <f t="shared" ca="1" si="45"/>
        <v>(abra o arquivo 'Referência 05-2023.xls)</v>
      </c>
      <c r="AG129" s="550">
        <f t="shared" ca="1" si="46"/>
        <v>0</v>
      </c>
      <c r="AH129" s="551">
        <f t="shared" ca="1" si="47"/>
        <v>0.24390000000000001</v>
      </c>
      <c r="AJ129" s="553">
        <v>160</v>
      </c>
      <c r="AL129" s="574"/>
      <c r="AM129" s="431">
        <f t="shared" ca="1" si="48"/>
        <v>6179.2</v>
      </c>
      <c r="AN129" s="617">
        <f t="shared" ca="1" si="49"/>
        <v>38.619999999999997</v>
      </c>
    </row>
    <row r="130" spans="1:40" ht="63.75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5</v>
      </c>
      <c r="G130">
        <f t="shared" ca="1" si="30"/>
        <v>0</v>
      </c>
      <c r="H130">
        <f t="shared" ca="1" si="31"/>
        <v>0</v>
      </c>
      <c r="I130">
        <f t="shared" ca="1" si="32"/>
        <v>4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>F</v>
      </c>
      <c r="M130" s="145" t="s">
        <v>198</v>
      </c>
      <c r="N130" s="146" t="str">
        <f t="shared" ca="1" si="35"/>
        <v>Serviço</v>
      </c>
      <c r="O130" s="147" t="str">
        <f t="shared" ca="1" si="36"/>
        <v>1.5.4.</v>
      </c>
      <c r="P130" s="148" t="s">
        <v>246</v>
      </c>
      <c r="Q130" s="149" t="s">
        <v>469</v>
      </c>
      <c r="R130" s="150" t="str">
        <f t="shared" ca="1" si="37"/>
        <v>(abra o arquivo 'Referência 05-2023.xls)</v>
      </c>
      <c r="S130" s="151" t="str">
        <f t="shared" ca="1" si="38"/>
        <v>-</v>
      </c>
      <c r="T130" s="152">
        <f ca="1">OFFSET(CÁLCULO!H$15,ROW($T130)-ROW(T$15),0)</f>
        <v>810</v>
      </c>
      <c r="U130" s="153">
        <v>107.9</v>
      </c>
      <c r="V130" s="154" t="s">
        <v>155</v>
      </c>
      <c r="W130" s="152">
        <f t="shared" ca="1" si="39"/>
        <v>134.22</v>
      </c>
      <c r="X130" s="155">
        <f t="shared" ca="1" si="40"/>
        <v>108718.2</v>
      </c>
      <c r="Y130" s="156" t="s">
        <v>244</v>
      </c>
      <c r="Z130" t="str">
        <f t="shared" ca="1" si="41"/>
        <v>RA</v>
      </c>
      <c r="AA130" s="157">
        <f ca="1">IF($C130="S",IF($Z130="CP",$X130,IF($Z130="RA",(($X130)*QCI!$AA$3),0)),SomaAgrup)</f>
        <v>108718.2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str">
        <f t="shared" ca="1" si="44"/>
        <v>SINAPI 104162</v>
      </c>
      <c r="AF130" s="160" t="str">
        <f t="shared" ca="1" si="45"/>
        <v>(abra o arquivo 'Referência 05-2023.xls)</v>
      </c>
      <c r="AG130" s="550">
        <f t="shared" ca="1" si="46"/>
        <v>0</v>
      </c>
      <c r="AH130" s="551">
        <f t="shared" ca="1" si="47"/>
        <v>0.24390000000000001</v>
      </c>
      <c r="AJ130" s="553">
        <v>810</v>
      </c>
      <c r="AL130" s="574"/>
      <c r="AM130" s="431">
        <f t="shared" ca="1" si="48"/>
        <v>108718.2</v>
      </c>
      <c r="AN130" s="617">
        <f t="shared" ca="1" si="49"/>
        <v>134.22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5</v>
      </c>
      <c r="G131">
        <f t="shared" ca="1" si="30"/>
        <v>0</v>
      </c>
      <c r="H131">
        <f t="shared" ca="1" si="31"/>
        <v>0</v>
      </c>
      <c r="I131">
        <f t="shared" ca="1" si="32"/>
        <v>4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(abra o arquivo 'Referência 05-2023.xls)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(abra o arquivo 'Referência 05-2023.xls)</v>
      </c>
      <c r="AG131" s="550">
        <f t="shared" ca="1" si="46"/>
        <v>0</v>
      </c>
      <c r="AH131" s="551">
        <f t="shared" ca="1" si="47"/>
        <v>0.24390000000000001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t="25.5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5</v>
      </c>
      <c r="G132">
        <f t="shared" ca="1" si="30"/>
        <v>0</v>
      </c>
      <c r="H132">
        <f t="shared" ca="1" si="31"/>
        <v>0</v>
      </c>
      <c r="I132">
        <f t="shared" ca="1" si="32"/>
        <v>5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>F</v>
      </c>
      <c r="M132" s="145" t="s">
        <v>198</v>
      </c>
      <c r="N132" s="146" t="str">
        <f t="shared" ca="1" si="35"/>
        <v>Serviço</v>
      </c>
      <c r="O132" s="147" t="str">
        <f t="shared" ca="1" si="36"/>
        <v>1.5.5.</v>
      </c>
      <c r="P132" s="148" t="s">
        <v>246</v>
      </c>
      <c r="Q132" s="149" t="s">
        <v>486</v>
      </c>
      <c r="R132" s="150" t="str">
        <f t="shared" ca="1" si="37"/>
        <v>(abra o arquivo 'Referência 05-2023.xls)</v>
      </c>
      <c r="S132" s="151" t="str">
        <f t="shared" ca="1" si="38"/>
        <v>-</v>
      </c>
      <c r="T132" s="152">
        <f ca="1">OFFSET(CÁLCULO!H$15,ROW($T132)-ROW(T$15),0)</f>
        <v>785</v>
      </c>
      <c r="U132" s="153">
        <v>18.62</v>
      </c>
      <c r="V132" s="154" t="s">
        <v>155</v>
      </c>
      <c r="W132" s="152">
        <f t="shared" ca="1" si="39"/>
        <v>23.16</v>
      </c>
      <c r="X132" s="155">
        <f t="shared" ca="1" si="40"/>
        <v>18180.599999999999</v>
      </c>
      <c r="Y132" s="156" t="s">
        <v>244</v>
      </c>
      <c r="Z132" t="str">
        <f t="shared" ca="1" si="41"/>
        <v>RA</v>
      </c>
      <c r="AA132" s="157">
        <f ca="1">IF($C132="S",IF($Z132="CP",$X132,IF($Z132="RA",(($X132)*QCI!$AA$3),0)),SomaAgrup)</f>
        <v>18180.599999999999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str">
        <f t="shared" ca="1" si="44"/>
        <v>SINAPI 95240</v>
      </c>
      <c r="AF132" s="160" t="str">
        <f t="shared" ca="1" si="45"/>
        <v>(abra o arquivo 'Referência 05-2023.xls)</v>
      </c>
      <c r="AG132" s="550">
        <f t="shared" ca="1" si="46"/>
        <v>0</v>
      </c>
      <c r="AH132" s="551">
        <f t="shared" ca="1" si="47"/>
        <v>0.24390000000000001</v>
      </c>
      <c r="AJ132" s="553">
        <v>785</v>
      </c>
      <c r="AL132" s="574"/>
      <c r="AM132" s="431">
        <f t="shared" ca="1" si="48"/>
        <v>18180.599999999999</v>
      </c>
      <c r="AN132" s="617">
        <f t="shared" ca="1" si="49"/>
        <v>23.16</v>
      </c>
    </row>
    <row r="133" spans="1:40" ht="25.5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5</v>
      </c>
      <c r="G133">
        <f t="shared" ca="1" si="30"/>
        <v>0</v>
      </c>
      <c r="H133">
        <f t="shared" ca="1" si="31"/>
        <v>0</v>
      </c>
      <c r="I133">
        <f t="shared" ca="1" si="32"/>
        <v>6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>F</v>
      </c>
      <c r="M133" s="145" t="s">
        <v>198</v>
      </c>
      <c r="N133" s="146" t="str">
        <f t="shared" ca="1" si="35"/>
        <v>Serviço</v>
      </c>
      <c r="O133" s="147" t="str">
        <f t="shared" ca="1" si="36"/>
        <v>1.5.6.</v>
      </c>
      <c r="P133" s="148" t="s">
        <v>246</v>
      </c>
      <c r="Q133" s="149" t="s">
        <v>543</v>
      </c>
      <c r="R133" s="150" t="str">
        <f t="shared" ca="1" si="37"/>
        <v>(abra o arquivo 'Referência 05-2023.xls)</v>
      </c>
      <c r="S133" s="151" t="str">
        <f t="shared" ca="1" si="38"/>
        <v>-</v>
      </c>
      <c r="T133" s="152">
        <f ca="1">OFFSET(CÁLCULO!H$15,ROW($T133)-ROW(T$15),0)</f>
        <v>68</v>
      </c>
      <c r="U133" s="153">
        <v>27.84</v>
      </c>
      <c r="V133" s="154" t="s">
        <v>155</v>
      </c>
      <c r="W133" s="152">
        <f t="shared" ca="1" si="39"/>
        <v>34.630000000000003</v>
      </c>
      <c r="X133" s="155">
        <f t="shared" ca="1" si="40"/>
        <v>2354.84</v>
      </c>
      <c r="Y133" s="156" t="s">
        <v>244</v>
      </c>
      <c r="Z133" t="str">
        <f t="shared" ca="1" si="41"/>
        <v>RA</v>
      </c>
      <c r="AA133" s="157">
        <f ca="1">IF($C133="S",IF($Z133="CP",$X133,IF($Z133="RA",(($X133)*QCI!$AA$3),0)),SomaAgrup)</f>
        <v>2354.84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str">
        <f t="shared" ca="1" si="44"/>
        <v>SINAPI 102492</v>
      </c>
      <c r="AF133" s="160" t="str">
        <f t="shared" ca="1" si="45"/>
        <v>(abra o arquivo 'Referência 05-2023.xls)</v>
      </c>
      <c r="AG133" s="550">
        <f t="shared" ca="1" si="46"/>
        <v>0</v>
      </c>
      <c r="AH133" s="551">
        <f t="shared" ca="1" si="47"/>
        <v>0.24390000000000001</v>
      </c>
      <c r="AJ133" s="553">
        <v>68</v>
      </c>
      <c r="AL133" s="574"/>
      <c r="AM133" s="431">
        <f t="shared" ca="1" si="48"/>
        <v>2354.84</v>
      </c>
      <c r="AN133" s="617">
        <f t="shared" ca="1" si="49"/>
        <v>34.630000000000003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5</v>
      </c>
      <c r="G134">
        <f t="shared" ca="1" si="30"/>
        <v>0</v>
      </c>
      <c r="H134">
        <f t="shared" ca="1" si="31"/>
        <v>0</v>
      </c>
      <c r="I134">
        <f t="shared" ca="1" si="32"/>
        <v>6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(abra o arquivo 'Referência 05-2023.xls)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(abra o arquivo 'Referência 05-2023.xls)</v>
      </c>
      <c r="AG134" s="550">
        <f t="shared" ca="1" si="46"/>
        <v>0</v>
      </c>
      <c r="AH134" s="551">
        <f t="shared" ca="1" si="47"/>
        <v>0.24390000000000001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5</v>
      </c>
      <c r="G135">
        <f t="shared" ca="1" si="30"/>
        <v>0</v>
      </c>
      <c r="H135">
        <f t="shared" ca="1" si="31"/>
        <v>0</v>
      </c>
      <c r="I135">
        <f t="shared" ca="1" si="32"/>
        <v>6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(abra o arquivo 'Referência 05-2023.xls)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(abra o arquivo 'Referência 05-2023.xls)</v>
      </c>
      <c r="AG135" s="550">
        <f t="shared" ca="1" si="46"/>
        <v>0</v>
      </c>
      <c r="AH135" s="551">
        <f t="shared" ca="1" si="47"/>
        <v>0.24390000000000001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5</v>
      </c>
      <c r="G136">
        <f t="shared" ca="1" si="30"/>
        <v>0</v>
      </c>
      <c r="H136">
        <f t="shared" ca="1" si="31"/>
        <v>0</v>
      </c>
      <c r="I136">
        <f t="shared" ca="1" si="32"/>
        <v>6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(abra o arquivo 'Referência 05-2023.xls)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(abra o arquivo 'Referência 05-2023.xls)</v>
      </c>
      <c r="AG136" s="550">
        <f t="shared" ca="1" si="46"/>
        <v>0</v>
      </c>
      <c r="AH136" s="551">
        <f t="shared" ca="1" si="47"/>
        <v>0.24390000000000001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5</v>
      </c>
      <c r="G137">
        <f t="shared" ca="1" si="30"/>
        <v>0</v>
      </c>
      <c r="H137">
        <f t="shared" ca="1" si="31"/>
        <v>0</v>
      </c>
      <c r="I137">
        <f t="shared" ca="1" si="32"/>
        <v>6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(abra o arquivo 'Referência 05-2023.xls)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(abra o arquivo 'Referência 05-2023.xls)</v>
      </c>
      <c r="AG137" s="550">
        <f t="shared" ca="1" si="46"/>
        <v>0</v>
      </c>
      <c r="AH137" s="551">
        <f t="shared" ca="1" si="47"/>
        <v>0.24390000000000001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5</v>
      </c>
      <c r="G138">
        <f t="shared" ca="1" si="30"/>
        <v>0</v>
      </c>
      <c r="H138">
        <f t="shared" ca="1" si="31"/>
        <v>0</v>
      </c>
      <c r="I138">
        <f t="shared" ca="1" si="32"/>
        <v>6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(abra o arquivo 'Referência 05-2023.xls)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(abra o arquivo 'Referência 05-2023.xls)</v>
      </c>
      <c r="AG138" s="550">
        <f t="shared" ca="1" si="46"/>
        <v>0</v>
      </c>
      <c r="AH138" s="551">
        <f t="shared" ca="1" si="47"/>
        <v>0.24390000000000001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5</v>
      </c>
      <c r="G139">
        <f t="shared" ca="1" si="30"/>
        <v>0</v>
      </c>
      <c r="H139">
        <f t="shared" ca="1" si="31"/>
        <v>0</v>
      </c>
      <c r="I139">
        <f t="shared" ca="1" si="32"/>
        <v>6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(abra o arquivo 'Referência 05-2023.xls)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(abra o arquivo 'Referência 05-2023.xls)</v>
      </c>
      <c r="AG139" s="550">
        <f t="shared" ca="1" si="46"/>
        <v>0</v>
      </c>
      <c r="AH139" s="551">
        <f t="shared" ca="1" si="47"/>
        <v>0.24390000000000001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5</v>
      </c>
      <c r="G140">
        <f t="shared" ca="1" si="30"/>
        <v>0</v>
      </c>
      <c r="H140">
        <f t="shared" ca="1" si="31"/>
        <v>0</v>
      </c>
      <c r="I140">
        <f t="shared" ca="1" si="32"/>
        <v>6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(abra o arquivo 'Referência 05-2023.xls)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(abra o arquivo 'Referência 05-2023.xls)</v>
      </c>
      <c r="AG140" s="550">
        <f t="shared" ca="1" si="46"/>
        <v>0</v>
      </c>
      <c r="AH140" s="551">
        <f t="shared" ca="1" si="47"/>
        <v>0.24390000000000001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x14ac:dyDescent="0.2">
      <c r="A141">
        <f t="shared" si="25"/>
        <v>2</v>
      </c>
      <c r="B141">
        <f t="shared" ca="1" si="26"/>
        <v>2</v>
      </c>
      <c r="C141">
        <f t="shared" ca="1" si="27"/>
        <v>2</v>
      </c>
      <c r="D141">
        <f t="shared" ca="1" si="28"/>
        <v>16</v>
      </c>
      <c r="E141">
        <f ca="1">IF($C141=1,OFFSET(E141,-1,0)+MAX(1,COUNTIF(QCI!$A$13:$A$24,OFFSET(ORÇAMENTO!E141,-1,0))),OFFSET(E141,-1,0))</f>
        <v>1</v>
      </c>
      <c r="F141">
        <f t="shared" ca="1" si="29"/>
        <v>6</v>
      </c>
      <c r="G141">
        <f t="shared" ca="1" si="30"/>
        <v>0</v>
      </c>
      <c r="H141">
        <f t="shared" ca="1" si="31"/>
        <v>0</v>
      </c>
      <c r="I141">
        <f t="shared" ca="1" si="32"/>
        <v>0</v>
      </c>
      <c r="J141">
        <f t="shared" ca="1" si="33"/>
        <v>125</v>
      </c>
      <c r="K141">
        <f ca="1">IF(OR($C141="S",$C141=0),0,MATCH(OFFSET($D141,0,$C141)+IF($C141&lt;&gt;1,1,COUNTIF(QCI!$A$13:$A$24,ORÇAMENTO!E141)),OFFSET($D141,1,$C141,ROW($C$266)-ROW($C141)),0))</f>
        <v>16</v>
      </c>
      <c r="L141" s="144" t="str">
        <f t="shared" ca="1" si="34"/>
        <v>F</v>
      </c>
      <c r="M141" s="145" t="s">
        <v>195</v>
      </c>
      <c r="N141" s="146" t="str">
        <f t="shared" ca="1" si="35"/>
        <v>Nível 2</v>
      </c>
      <c r="O141" s="147" t="str">
        <f t="shared" ca="1" si="36"/>
        <v>1.6.</v>
      </c>
      <c r="P141" s="148" t="s">
        <v>246</v>
      </c>
      <c r="Q141" s="149"/>
      <c r="R141" s="150" t="s">
        <v>474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38644.18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38644.18</v>
      </c>
      <c r="AB141" s="158">
        <f t="shared" ca="1" si="42"/>
        <v>0</v>
      </c>
      <c r="AC141" s="159" t="str">
        <f t="shared" ca="1" si="43"/>
        <v/>
      </c>
      <c r="AD141" s="105">
        <f ca="1">IF(C141&lt;=CRONO.NivelExibicao,MAX($AD$15:OFFSET(AD141,-1,0))+IF($C141&lt;&gt;1,1,MAX(1,COUNTIF(QCI!$A$13:$A$24,OFFSET($E141,-1,0)))),"")</f>
        <v>7</v>
      </c>
      <c r="AE141" s="115" t="b">
        <f t="shared" ca="1" si="44"/>
        <v>0</v>
      </c>
      <c r="AF141" s="160" t="str">
        <f t="shared" ca="1" si="45"/>
        <v>(abra o arquivo 'Referência 05-2023.xls)</v>
      </c>
      <c r="AG141" s="550">
        <f t="shared" ca="1" si="46"/>
        <v>0</v>
      </c>
      <c r="AH141" s="551">
        <f t="shared" ca="1" si="47"/>
        <v>0.24390000000000001</v>
      </c>
      <c r="AJ141" s="553"/>
      <c r="AL141" s="574"/>
      <c r="AM141" s="431">
        <f t="shared" ca="1" si="48"/>
        <v>38644.18</v>
      </c>
      <c r="AN141" s="617">
        <f t="shared" ca="1" si="49"/>
        <v>0</v>
      </c>
    </row>
    <row r="142" spans="1:40" ht="38.25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6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>F</v>
      </c>
      <c r="M142" s="145" t="s">
        <v>198</v>
      </c>
      <c r="N142" s="146" t="str">
        <f t="shared" ca="1" si="35"/>
        <v>Serviço</v>
      </c>
      <c r="O142" s="147" t="str">
        <f t="shared" ca="1" si="36"/>
        <v>1.6.1.</v>
      </c>
      <c r="P142" s="148" t="s">
        <v>246</v>
      </c>
      <c r="Q142" s="149" t="s">
        <v>475</v>
      </c>
      <c r="R142" s="150" t="str">
        <f t="shared" ca="1" si="37"/>
        <v>(abra o arquivo 'Referência 05-2023.xls)</v>
      </c>
      <c r="S142" s="151" t="str">
        <f t="shared" ca="1" si="38"/>
        <v>-</v>
      </c>
      <c r="T142" s="152">
        <f ca="1">OFFSET(CÁLCULO!H$15,ROW($T142)-ROW(T$15),0)</f>
        <v>3</v>
      </c>
      <c r="U142" s="153">
        <v>2246.21</v>
      </c>
      <c r="V142" s="154" t="s">
        <v>155</v>
      </c>
      <c r="W142" s="152">
        <f t="shared" ca="1" si="39"/>
        <v>2794.06</v>
      </c>
      <c r="X142" s="155">
        <f t="shared" ca="1" si="40"/>
        <v>8382.18</v>
      </c>
      <c r="Y142" s="156" t="s">
        <v>244</v>
      </c>
      <c r="Z142" t="str">
        <f t="shared" ca="1" si="41"/>
        <v>RA</v>
      </c>
      <c r="AA142" s="157">
        <f ca="1">IF($C142="S",IF($Z142="CP",$X142,IF($Z142="RA",(($X142)*QCI!$AA$3),0)),SomaAgrup)</f>
        <v>8382.18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str">
        <f t="shared" ca="1" si="44"/>
        <v>SINAPI 92616</v>
      </c>
      <c r="AF142" s="160" t="str">
        <f t="shared" ca="1" si="45"/>
        <v>(abra o arquivo 'Referência 05-2023.xls)</v>
      </c>
      <c r="AG142" s="550">
        <f t="shared" ca="1" si="46"/>
        <v>0</v>
      </c>
      <c r="AH142" s="551">
        <f t="shared" ca="1" si="47"/>
        <v>0.24390000000000001</v>
      </c>
      <c r="AJ142" s="553">
        <v>3</v>
      </c>
      <c r="AL142" s="574"/>
      <c r="AM142" s="431">
        <f t="shared" ca="1" si="48"/>
        <v>8382.18</v>
      </c>
      <c r="AN142" s="617">
        <f t="shared" ca="1" si="49"/>
        <v>2794.06</v>
      </c>
    </row>
    <row r="143" spans="1:40" ht="5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6</v>
      </c>
      <c r="G143">
        <f t="shared" ca="1" si="30"/>
        <v>0</v>
      </c>
      <c r="H143">
        <f t="shared" ca="1" si="31"/>
        <v>0</v>
      </c>
      <c r="I143">
        <f t="shared" ca="1" si="32"/>
        <v>2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>F</v>
      </c>
      <c r="M143" s="145" t="s">
        <v>198</v>
      </c>
      <c r="N143" s="146" t="str">
        <f t="shared" ca="1" si="35"/>
        <v>Serviço</v>
      </c>
      <c r="O143" s="147" t="str">
        <f t="shared" ca="1" si="36"/>
        <v>1.6.2.</v>
      </c>
      <c r="P143" s="148" t="s">
        <v>246</v>
      </c>
      <c r="Q143" s="149" t="s">
        <v>476</v>
      </c>
      <c r="R143" s="150" t="str">
        <f t="shared" ca="1" si="37"/>
        <v>(abra o arquivo 'Referência 05-2023.xls)</v>
      </c>
      <c r="S143" s="151" t="str">
        <f t="shared" ca="1" si="38"/>
        <v>-</v>
      </c>
      <c r="T143" s="152">
        <f ca="1">OFFSET(CÁLCULO!H$15,ROW($T143)-ROW(T$15),0)</f>
        <v>109</v>
      </c>
      <c r="U143" s="153">
        <v>46.43</v>
      </c>
      <c r="V143" s="154" t="s">
        <v>155</v>
      </c>
      <c r="W143" s="152">
        <f t="shared" ca="1" si="39"/>
        <v>57.75</v>
      </c>
      <c r="X143" s="155">
        <f t="shared" ca="1" si="40"/>
        <v>6294.75</v>
      </c>
      <c r="Y143" s="156" t="s">
        <v>244</v>
      </c>
      <c r="Z143" t="str">
        <f t="shared" ca="1" si="41"/>
        <v>RA</v>
      </c>
      <c r="AA143" s="157">
        <f ca="1">IF($C143="S",IF($Z143="CP",$X143,IF($Z143="RA",(($X143)*QCI!$AA$3),0)),SomaAgrup)</f>
        <v>6294.75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str">
        <f t="shared" ca="1" si="44"/>
        <v>SINAPI 94207</v>
      </c>
      <c r="AF143" s="160" t="str">
        <f t="shared" ca="1" si="45"/>
        <v>(abra o arquivo 'Referência 05-2023.xls)</v>
      </c>
      <c r="AG143" s="550">
        <f t="shared" ca="1" si="46"/>
        <v>0</v>
      </c>
      <c r="AH143" s="551">
        <f t="shared" ca="1" si="47"/>
        <v>0.24390000000000001</v>
      </c>
      <c r="AJ143" s="553">
        <v>109</v>
      </c>
      <c r="AL143" s="574"/>
      <c r="AM143" s="431">
        <f t="shared" ca="1" si="48"/>
        <v>6294.75</v>
      </c>
      <c r="AN143" s="617">
        <f t="shared" ca="1" si="49"/>
        <v>57.75</v>
      </c>
    </row>
    <row r="144" spans="1:40" ht="5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6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3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>F</v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1.6.3.</v>
      </c>
      <c r="P144" s="148" t="s">
        <v>246</v>
      </c>
      <c r="Q144" s="149" t="s">
        <v>477</v>
      </c>
      <c r="R144" s="150" t="str">
        <f t="shared" ref="R144:R207" ca="1" si="62">IF($C144="S",REFERENCIA.Descricao,"(digite a descrição aqui)")</f>
        <v>(abra o arquivo 'Referência 05-2023.xls)</v>
      </c>
      <c r="S144" s="151" t="str">
        <f t="shared" ref="S144:S207" ca="1" si="63">REFERENCIA.Unidade</f>
        <v>-</v>
      </c>
      <c r="T144" s="152">
        <f ca="1">OFFSET(CÁLCULO!H$15,ROW($T144)-ROW(T$15),0)</f>
        <v>109</v>
      </c>
      <c r="U144" s="153">
        <v>59.64</v>
      </c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74.19</v>
      </c>
      <c r="X144" s="155">
        <f t="shared" ref="X144:X207" ca="1" si="65">IF($C144="S",VTOTAL1,IF($C144=0,0,ROUND(SomaAgrup,15-13*$AF$11)))</f>
        <v>8086.71</v>
      </c>
      <c r="Y144" s="156" t="s">
        <v>244</v>
      </c>
      <c r="Z144" t="str">
        <f t="shared" ref="Z144:Z207" ca="1" si="66">IF(AND($C144="S",$X144&gt;0),IF(ISBLANK($Y144),"RA",LEFT($Y144,2)),"")</f>
        <v>RA</v>
      </c>
      <c r="AA144" s="157">
        <f ca="1">IF($C144="S",IF($Z144="CP",$X144,IF($Z144="RA",(($X144)*QCI!$AA$3),0)),SomaAgrup)</f>
        <v>8086.71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str">
        <f t="shared" ref="AE144:AE207" ca="1" si="69">IF(AND($C144="S",ORÇAMENTO.CodBarra&lt;&gt;""),IF(ORÇAMENTO.Fonte="",ORÇAMENTO.CodBarra,CONCATENATE(ORÇAMENTO.Fonte," ",ORÇAMENTO.CodBarra)))</f>
        <v>SINAPI 92580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(abra o arquivo 'Referência 05-2023.xls)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0.24390000000000001</v>
      </c>
      <c r="AJ144" s="553">
        <v>109</v>
      </c>
      <c r="AL144" s="574"/>
      <c r="AM144" s="431">
        <f t="shared" ref="AM144:AM207" ca="1" si="73">$X144</f>
        <v>8086.71</v>
      </c>
      <c r="AN144" s="617">
        <f t="shared" ref="AN144:AN207" ca="1" si="74">ROUND(ORÇAMENTO.CustoUnitario*(1+$AH144),2)</f>
        <v>74.19</v>
      </c>
    </row>
    <row r="145" spans="1:40" ht="25.5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6</v>
      </c>
      <c r="G145">
        <f t="shared" ca="1" si="55"/>
        <v>0</v>
      </c>
      <c r="H145">
        <f t="shared" ca="1" si="56"/>
        <v>0</v>
      </c>
      <c r="I145">
        <f t="shared" ca="1" si="57"/>
        <v>4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>F</v>
      </c>
      <c r="M145" s="145" t="s">
        <v>198</v>
      </c>
      <c r="N145" s="146" t="str">
        <f t="shared" ca="1" si="60"/>
        <v>Serviço</v>
      </c>
      <c r="O145" s="147" t="str">
        <f t="shared" ca="1" si="61"/>
        <v>1.6.4.</v>
      </c>
      <c r="P145" s="148" t="s">
        <v>246</v>
      </c>
      <c r="Q145" s="149" t="s">
        <v>478</v>
      </c>
      <c r="R145" s="150" t="str">
        <f t="shared" ca="1" si="62"/>
        <v>(abra o arquivo 'Referência 05-2023.xls)</v>
      </c>
      <c r="S145" s="151" t="str">
        <f t="shared" ca="1" si="63"/>
        <v>-</v>
      </c>
      <c r="T145" s="152">
        <f ca="1">OFFSET(CÁLCULO!H$15,ROW($T145)-ROW(T$15),0)</f>
        <v>109</v>
      </c>
      <c r="U145" s="153">
        <v>106.68</v>
      </c>
      <c r="V145" s="154" t="s">
        <v>155</v>
      </c>
      <c r="W145" s="152">
        <f t="shared" ca="1" si="64"/>
        <v>132.69999999999999</v>
      </c>
      <c r="X145" s="155">
        <f t="shared" ca="1" si="65"/>
        <v>14464.3</v>
      </c>
      <c r="Y145" s="156" t="s">
        <v>244</v>
      </c>
      <c r="Z145" t="str">
        <f t="shared" ca="1" si="66"/>
        <v>RA</v>
      </c>
      <c r="AA145" s="157">
        <f ca="1">IF($C145="S",IF($Z145="CP",$X145,IF($Z145="RA",(($X145)*QCI!$AA$3),0)),SomaAgrup)</f>
        <v>14464.3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str">
        <f t="shared" ca="1" si="69"/>
        <v>SINAPI 96486</v>
      </c>
      <c r="AF145" s="160" t="str">
        <f t="shared" ca="1" si="70"/>
        <v>(abra o arquivo 'Referência 05-2023.xls)</v>
      </c>
      <c r="AG145" s="550">
        <f t="shared" ca="1" si="71"/>
        <v>0</v>
      </c>
      <c r="AH145" s="551">
        <f t="shared" ca="1" si="72"/>
        <v>0.24390000000000001</v>
      </c>
      <c r="AJ145" s="553">
        <v>109</v>
      </c>
      <c r="AL145" s="574"/>
      <c r="AM145" s="431">
        <f t="shared" ca="1" si="73"/>
        <v>14464.3</v>
      </c>
      <c r="AN145" s="617">
        <f t="shared" ca="1" si="74"/>
        <v>132.69999999999999</v>
      </c>
    </row>
    <row r="146" spans="1:40" ht="25.5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6</v>
      </c>
      <c r="G146">
        <f t="shared" ca="1" si="55"/>
        <v>0</v>
      </c>
      <c r="H146">
        <f t="shared" ca="1" si="56"/>
        <v>0</v>
      </c>
      <c r="I146">
        <f t="shared" ca="1" si="57"/>
        <v>5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>F</v>
      </c>
      <c r="M146" s="145" t="s">
        <v>198</v>
      </c>
      <c r="N146" s="146" t="str">
        <f t="shared" ca="1" si="60"/>
        <v>Serviço</v>
      </c>
      <c r="O146" s="147" t="str">
        <f t="shared" ca="1" si="61"/>
        <v>1.6.5.</v>
      </c>
      <c r="P146" s="148" t="s">
        <v>246</v>
      </c>
      <c r="Q146" s="149" t="s">
        <v>546</v>
      </c>
      <c r="R146" s="150" t="str">
        <f t="shared" ca="1" si="62"/>
        <v>(abra o arquivo 'Referência 05-2023.xls)</v>
      </c>
      <c r="S146" s="151" t="str">
        <f t="shared" ca="1" si="63"/>
        <v>-</v>
      </c>
      <c r="T146" s="152">
        <f ca="1">OFFSET(CÁLCULO!H$15,ROW($T146)-ROW(T$15),0)</f>
        <v>72</v>
      </c>
      <c r="U146" s="153">
        <v>15.81</v>
      </c>
      <c r="V146" s="154" t="s">
        <v>155</v>
      </c>
      <c r="W146" s="152">
        <f t="shared" ca="1" si="64"/>
        <v>19.670000000000002</v>
      </c>
      <c r="X146" s="155">
        <f t="shared" ca="1" si="65"/>
        <v>1416.24</v>
      </c>
      <c r="Y146" s="156" t="s">
        <v>244</v>
      </c>
      <c r="Z146" t="str">
        <f t="shared" ca="1" si="66"/>
        <v>RA</v>
      </c>
      <c r="AA146" s="157">
        <f ca="1">IF($C146="S",IF($Z146="CP",$X146,IF($Z146="RA",(($X146)*QCI!$AA$3),0)),SomaAgrup)</f>
        <v>1416.24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str">
        <f t="shared" ca="1" si="69"/>
        <v>SINAPI 96121</v>
      </c>
      <c r="AF146" s="160" t="str">
        <f t="shared" ca="1" si="70"/>
        <v>(abra o arquivo 'Referência 05-2023.xls)</v>
      </c>
      <c r="AG146" s="550">
        <f t="shared" ca="1" si="71"/>
        <v>0</v>
      </c>
      <c r="AH146" s="551">
        <f t="shared" ca="1" si="72"/>
        <v>0.24390000000000001</v>
      </c>
      <c r="AJ146" s="553">
        <v>72</v>
      </c>
      <c r="AL146" s="574"/>
      <c r="AM146" s="431">
        <f t="shared" ca="1" si="73"/>
        <v>1416.24</v>
      </c>
      <c r="AN146" s="617">
        <f t="shared" ca="1" si="74"/>
        <v>19.670000000000002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6</v>
      </c>
      <c r="G147">
        <f t="shared" ca="1" si="55"/>
        <v>0</v>
      </c>
      <c r="H147">
        <f t="shared" ca="1" si="56"/>
        <v>0</v>
      </c>
      <c r="I147">
        <f t="shared" ca="1" si="57"/>
        <v>5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(abra o arquivo 'Referência 05-2023.xls)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(abra o arquivo 'Referência 05-2023.xls)</v>
      </c>
      <c r="AG147" s="550">
        <f t="shared" ca="1" si="71"/>
        <v>0</v>
      </c>
      <c r="AH147" s="551">
        <f t="shared" ca="1" si="72"/>
        <v>0.24390000000000001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6</v>
      </c>
      <c r="G148">
        <f t="shared" ca="1" si="55"/>
        <v>0</v>
      </c>
      <c r="H148">
        <f t="shared" ca="1" si="56"/>
        <v>0</v>
      </c>
      <c r="I148">
        <f t="shared" ca="1" si="57"/>
        <v>5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(abra o arquivo 'Referência 05-2023.xls)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(abra o arquivo 'Referência 05-2023.xls)</v>
      </c>
      <c r="AG148" s="550">
        <f t="shared" ca="1" si="71"/>
        <v>0</v>
      </c>
      <c r="AH148" s="551">
        <f t="shared" ca="1" si="72"/>
        <v>0.24390000000000001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6</v>
      </c>
      <c r="G149">
        <f t="shared" ca="1" si="55"/>
        <v>0</v>
      </c>
      <c r="H149">
        <f t="shared" ca="1" si="56"/>
        <v>0</v>
      </c>
      <c r="I149">
        <f t="shared" ca="1" si="57"/>
        <v>5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(abra o arquivo 'Referência 05-2023.xls)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(abra o arquivo 'Referência 05-2023.xls)</v>
      </c>
      <c r="AG149" s="550">
        <f t="shared" ca="1" si="71"/>
        <v>0</v>
      </c>
      <c r="AH149" s="551">
        <f t="shared" ca="1" si="72"/>
        <v>0.24390000000000001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6</v>
      </c>
      <c r="G150">
        <f t="shared" ca="1" si="55"/>
        <v>0</v>
      </c>
      <c r="H150">
        <f t="shared" ca="1" si="56"/>
        <v>0</v>
      </c>
      <c r="I150">
        <f t="shared" ca="1" si="57"/>
        <v>5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(abra o arquivo 'Referência 05-2023.xls)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(abra o arquivo 'Referência 05-2023.xls)</v>
      </c>
      <c r="AG150" s="550">
        <f t="shared" ca="1" si="71"/>
        <v>0</v>
      </c>
      <c r="AH150" s="551">
        <f t="shared" ca="1" si="72"/>
        <v>0.24390000000000001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6</v>
      </c>
      <c r="G151">
        <f t="shared" ca="1" si="55"/>
        <v>0</v>
      </c>
      <c r="H151">
        <f t="shared" ca="1" si="56"/>
        <v>0</v>
      </c>
      <c r="I151">
        <f t="shared" ca="1" si="57"/>
        <v>5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(abra o arquivo 'Referência 05-2023.xls)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(abra o arquivo 'Referência 05-2023.xls)</v>
      </c>
      <c r="AG151" s="550">
        <f t="shared" ca="1" si="71"/>
        <v>0</v>
      </c>
      <c r="AH151" s="551">
        <f t="shared" ca="1" si="72"/>
        <v>0.24390000000000001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6</v>
      </c>
      <c r="G152">
        <f t="shared" ca="1" si="55"/>
        <v>0</v>
      </c>
      <c r="H152">
        <f t="shared" ca="1" si="56"/>
        <v>0</v>
      </c>
      <c r="I152">
        <f t="shared" ca="1" si="57"/>
        <v>5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(abra o arquivo 'Referência 05-2023.xls)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(abra o arquivo 'Referência 05-2023.xls)</v>
      </c>
      <c r="AG152" s="550">
        <f t="shared" ca="1" si="71"/>
        <v>0</v>
      </c>
      <c r="AH152" s="551">
        <f t="shared" ca="1" si="72"/>
        <v>0.24390000000000001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6</v>
      </c>
      <c r="G153">
        <f t="shared" ca="1" si="55"/>
        <v>0</v>
      </c>
      <c r="H153">
        <f t="shared" ca="1" si="56"/>
        <v>0</v>
      </c>
      <c r="I153">
        <f t="shared" ca="1" si="57"/>
        <v>5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(abra o arquivo 'Referência 05-2023.xls)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(abra o arquivo 'Referência 05-2023.xls)</v>
      </c>
      <c r="AG153" s="550">
        <f t="shared" ca="1" si="71"/>
        <v>0</v>
      </c>
      <c r="AH153" s="551">
        <f t="shared" ca="1" si="72"/>
        <v>0.24390000000000001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6</v>
      </c>
      <c r="G154">
        <f t="shared" ca="1" si="55"/>
        <v>0</v>
      </c>
      <c r="H154">
        <f t="shared" ca="1" si="56"/>
        <v>0</v>
      </c>
      <c r="I154">
        <f t="shared" ca="1" si="57"/>
        <v>5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(abra o arquivo 'Referência 05-2023.xls)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(abra o arquivo 'Referência 05-2023.xls)</v>
      </c>
      <c r="AG154" s="550">
        <f t="shared" ca="1" si="71"/>
        <v>0</v>
      </c>
      <c r="AH154" s="551">
        <f t="shared" ca="1" si="72"/>
        <v>0.24390000000000001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6</v>
      </c>
      <c r="G155">
        <f t="shared" ca="1" si="55"/>
        <v>0</v>
      </c>
      <c r="H155">
        <f t="shared" ca="1" si="56"/>
        <v>0</v>
      </c>
      <c r="I155">
        <f t="shared" ca="1" si="57"/>
        <v>5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(abra o arquivo 'Referência 05-2023.xls)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(abra o arquivo 'Referência 05-2023.xls)</v>
      </c>
      <c r="AG155" s="550">
        <f t="shared" ca="1" si="71"/>
        <v>0</v>
      </c>
      <c r="AH155" s="551">
        <f t="shared" ca="1" si="72"/>
        <v>0.24390000000000001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6</v>
      </c>
      <c r="G156">
        <f t="shared" ca="1" si="55"/>
        <v>0</v>
      </c>
      <c r="H156">
        <f t="shared" ca="1" si="56"/>
        <v>0</v>
      </c>
      <c r="I156">
        <f t="shared" ca="1" si="57"/>
        <v>5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(abra o arquivo 'Referência 05-2023.xls)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(abra o arquivo 'Referência 05-2023.xls)</v>
      </c>
      <c r="AG156" s="550">
        <f t="shared" ca="1" si="71"/>
        <v>0</v>
      </c>
      <c r="AH156" s="551">
        <f t="shared" ca="1" si="72"/>
        <v>0.24390000000000001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x14ac:dyDescent="0.2">
      <c r="A157">
        <f t="shared" si="50"/>
        <v>2</v>
      </c>
      <c r="B157">
        <f t="shared" ca="1" si="51"/>
        <v>2</v>
      </c>
      <c r="C157">
        <f t="shared" ca="1" si="52"/>
        <v>2</v>
      </c>
      <c r="D157">
        <f t="shared" ca="1" si="53"/>
        <v>12</v>
      </c>
      <c r="E157">
        <f ca="1">IF($C157=1,OFFSET(E157,-1,0)+MAX(1,COUNTIF(QCI!$A$13:$A$24,OFFSET(ORÇAMENTO!E157,-1,0))),OFFSET(E157,-1,0))</f>
        <v>1</v>
      </c>
      <c r="F157">
        <f t="shared" ca="1" si="54"/>
        <v>7</v>
      </c>
      <c r="G157">
        <f t="shared" ca="1" si="55"/>
        <v>0</v>
      </c>
      <c r="H157">
        <f t="shared" ca="1" si="56"/>
        <v>0</v>
      </c>
      <c r="I157">
        <f t="shared" ca="1" si="57"/>
        <v>0</v>
      </c>
      <c r="J157">
        <f t="shared" ca="1" si="58"/>
        <v>109</v>
      </c>
      <c r="K157">
        <f ca="1">IF(OR($C157="S",$C157=0),0,MATCH(OFFSET($D157,0,$C157)+IF($C157&lt;&gt;1,1,COUNTIF(QCI!$A$13:$A$24,ORÇAMENTO!E157)),OFFSET($D157,1,$C157,ROW($C$266)-ROW($C157)),0))</f>
        <v>12</v>
      </c>
      <c r="L157" s="144" t="str">
        <f t="shared" ca="1" si="59"/>
        <v>F</v>
      </c>
      <c r="M157" s="145" t="s">
        <v>195</v>
      </c>
      <c r="N157" s="146" t="str">
        <f t="shared" ca="1" si="60"/>
        <v>Nível 2</v>
      </c>
      <c r="O157" s="147" t="str">
        <f t="shared" ca="1" si="61"/>
        <v>1.7.</v>
      </c>
      <c r="P157" s="148" t="s">
        <v>246</v>
      </c>
      <c r="Q157" s="149"/>
      <c r="R157" s="150" t="s">
        <v>470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26959.72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26959.72</v>
      </c>
      <c r="AB157" s="158">
        <f t="shared" ca="1" si="67"/>
        <v>0</v>
      </c>
      <c r="AC157" s="159" t="str">
        <f t="shared" ca="1" si="68"/>
        <v/>
      </c>
      <c r="AD157" s="105">
        <f ca="1">IF(C157&lt;=CRONO.NivelExibicao,MAX($AD$15:OFFSET(AD157,-1,0))+IF($C157&lt;&gt;1,1,MAX(1,COUNTIF(QCI!$A$13:$A$24,OFFSET($E157,-1,0)))),"")</f>
        <v>8</v>
      </c>
      <c r="AE157" s="115" t="b">
        <f t="shared" ca="1" si="69"/>
        <v>0</v>
      </c>
      <c r="AF157" s="160" t="str">
        <f t="shared" ca="1" si="70"/>
        <v>(abra o arquivo 'Referência 05-2023.xls)</v>
      </c>
      <c r="AG157" s="550">
        <f t="shared" ca="1" si="71"/>
        <v>0</v>
      </c>
      <c r="AH157" s="551">
        <f t="shared" ca="1" si="72"/>
        <v>0.24390000000000001</v>
      </c>
      <c r="AJ157" s="553"/>
      <c r="AL157" s="574"/>
      <c r="AM157" s="431">
        <f t="shared" ca="1" si="73"/>
        <v>26959.72</v>
      </c>
      <c r="AN157" s="617">
        <f t="shared" ca="1" si="74"/>
        <v>0</v>
      </c>
    </row>
    <row r="158" spans="1:40" ht="38.25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7</v>
      </c>
      <c r="G158">
        <f t="shared" ca="1" si="55"/>
        <v>0</v>
      </c>
      <c r="H158">
        <f t="shared" ca="1" si="56"/>
        <v>0</v>
      </c>
      <c r="I158">
        <f t="shared" ca="1" si="57"/>
        <v>1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>F</v>
      </c>
      <c r="M158" s="145" t="s">
        <v>198</v>
      </c>
      <c r="N158" s="146" t="str">
        <f t="shared" ca="1" si="60"/>
        <v>Serviço</v>
      </c>
      <c r="O158" s="147" t="str">
        <f t="shared" ca="1" si="61"/>
        <v>1.7.1.</v>
      </c>
      <c r="P158" s="148" t="s">
        <v>246</v>
      </c>
      <c r="Q158" s="149" t="s">
        <v>471</v>
      </c>
      <c r="R158" s="150" t="str">
        <f t="shared" ca="1" si="62"/>
        <v>(abra o arquivo 'Referência 05-2023.xls)</v>
      </c>
      <c r="S158" s="151" t="str">
        <f t="shared" ca="1" si="63"/>
        <v>-</v>
      </c>
      <c r="T158" s="152">
        <f ca="1">OFFSET(CÁLCULO!H$15,ROW($T158)-ROW(T$15),0)</f>
        <v>120.32</v>
      </c>
      <c r="U158" s="153">
        <v>93.1</v>
      </c>
      <c r="V158" s="154" t="s">
        <v>155</v>
      </c>
      <c r="W158" s="152">
        <f t="shared" ca="1" si="64"/>
        <v>115.81</v>
      </c>
      <c r="X158" s="155">
        <f t="shared" ca="1" si="65"/>
        <v>13934.26</v>
      </c>
      <c r="Y158" s="156" t="s">
        <v>244</v>
      </c>
      <c r="Z158" t="str">
        <f t="shared" ca="1" si="66"/>
        <v>RA</v>
      </c>
      <c r="AA158" s="157">
        <f ca="1">IF($C158="S",IF($Z158="CP",$X158,IF($Z158="RA",(($X158)*QCI!$AA$3),0)),SomaAgrup)</f>
        <v>13934.26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str">
        <f t="shared" ca="1" si="69"/>
        <v>SINAPI 104611</v>
      </c>
      <c r="AF158" s="160" t="str">
        <f t="shared" ca="1" si="70"/>
        <v>(abra o arquivo 'Referência 05-2023.xls)</v>
      </c>
      <c r="AG158" s="550">
        <f t="shared" ca="1" si="71"/>
        <v>0</v>
      </c>
      <c r="AH158" s="551">
        <f t="shared" ca="1" si="72"/>
        <v>0.24390000000000001</v>
      </c>
      <c r="AJ158" s="553">
        <v>120.32</v>
      </c>
      <c r="AL158" s="574"/>
      <c r="AM158" s="431">
        <f t="shared" ca="1" si="73"/>
        <v>13934.26</v>
      </c>
      <c r="AN158" s="617">
        <f t="shared" ca="1" si="74"/>
        <v>115.81</v>
      </c>
    </row>
    <row r="159" spans="1:40" ht="25.5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7</v>
      </c>
      <c r="G159">
        <f t="shared" ca="1" si="55"/>
        <v>0</v>
      </c>
      <c r="H159">
        <f t="shared" ca="1" si="56"/>
        <v>0</v>
      </c>
      <c r="I159">
        <f t="shared" ca="1" si="57"/>
        <v>2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>F</v>
      </c>
      <c r="M159" s="145" t="s">
        <v>198</v>
      </c>
      <c r="N159" s="146" t="str">
        <f t="shared" ca="1" si="60"/>
        <v>Serviço</v>
      </c>
      <c r="O159" s="147" t="str">
        <f t="shared" ca="1" si="61"/>
        <v>1.7.2.</v>
      </c>
      <c r="P159" s="148" t="s">
        <v>246</v>
      </c>
      <c r="Q159" s="149" t="s">
        <v>472</v>
      </c>
      <c r="R159" s="150" t="str">
        <f t="shared" ca="1" si="62"/>
        <v>(abra o arquivo 'Referência 05-2023.xls)</v>
      </c>
      <c r="S159" s="151" t="str">
        <f t="shared" ca="1" si="63"/>
        <v>-</v>
      </c>
      <c r="T159" s="152">
        <f ca="1">OFFSET(CÁLCULO!H$15,ROW($T159)-ROW(T$15),0)</f>
        <v>472</v>
      </c>
      <c r="U159" s="153">
        <v>11.19</v>
      </c>
      <c r="V159" s="154" t="s">
        <v>155</v>
      </c>
      <c r="W159" s="152">
        <f t="shared" ca="1" si="64"/>
        <v>13.92</v>
      </c>
      <c r="X159" s="155">
        <f t="shared" ca="1" si="65"/>
        <v>6570.24</v>
      </c>
      <c r="Y159" s="156" t="s">
        <v>244</v>
      </c>
      <c r="Z159" t="str">
        <f t="shared" ca="1" si="66"/>
        <v>RA</v>
      </c>
      <c r="AA159" s="157">
        <f ca="1">IF($C159="S",IF($Z159="CP",$X159,IF($Z159="RA",(($X159)*QCI!$AA$3),0)),SomaAgrup)</f>
        <v>6570.24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str">
        <f t="shared" ca="1" si="69"/>
        <v>SINAPI 104642</v>
      </c>
      <c r="AF159" s="160" t="str">
        <f t="shared" ca="1" si="70"/>
        <v>(abra o arquivo 'Referência 05-2023.xls)</v>
      </c>
      <c r="AG159" s="550">
        <f t="shared" ca="1" si="71"/>
        <v>0</v>
      </c>
      <c r="AH159" s="551">
        <f t="shared" ca="1" si="72"/>
        <v>0.24390000000000001</v>
      </c>
      <c r="AJ159" s="553">
        <v>472</v>
      </c>
      <c r="AL159" s="574"/>
      <c r="AM159" s="431">
        <f t="shared" ca="1" si="73"/>
        <v>6570.24</v>
      </c>
      <c r="AN159" s="617">
        <f t="shared" ca="1" si="74"/>
        <v>13.92</v>
      </c>
    </row>
    <row r="160" spans="1:40" ht="25.5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7</v>
      </c>
      <c r="G160">
        <f t="shared" ca="1" si="55"/>
        <v>0</v>
      </c>
      <c r="H160">
        <f t="shared" ca="1" si="56"/>
        <v>0</v>
      </c>
      <c r="I160">
        <f t="shared" ca="1" si="57"/>
        <v>3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>F</v>
      </c>
      <c r="M160" s="145" t="s">
        <v>198</v>
      </c>
      <c r="N160" s="146" t="str">
        <f t="shared" ca="1" si="60"/>
        <v>Serviço</v>
      </c>
      <c r="O160" s="147" t="str">
        <f t="shared" ca="1" si="61"/>
        <v>1.7.3.</v>
      </c>
      <c r="P160" s="148" t="s">
        <v>246</v>
      </c>
      <c r="Q160" s="149" t="s">
        <v>473</v>
      </c>
      <c r="R160" s="150" t="str">
        <f t="shared" ca="1" si="62"/>
        <v>(abra o arquivo 'Referência 05-2023.xls)</v>
      </c>
      <c r="S160" s="151" t="str">
        <f t="shared" ca="1" si="63"/>
        <v>-</v>
      </c>
      <c r="T160" s="152">
        <f ca="1">OFFSET(CÁLCULO!H$15,ROW($T160)-ROW(T$15),0)</f>
        <v>225</v>
      </c>
      <c r="U160" s="153">
        <v>13.87</v>
      </c>
      <c r="V160" s="154" t="s">
        <v>155</v>
      </c>
      <c r="W160" s="152">
        <f t="shared" ca="1" si="64"/>
        <v>17.25</v>
      </c>
      <c r="X160" s="155">
        <f t="shared" ca="1" si="65"/>
        <v>3881.25</v>
      </c>
      <c r="Y160" s="156" t="s">
        <v>244</v>
      </c>
      <c r="Z160" t="str">
        <f t="shared" ca="1" si="66"/>
        <v>RA</v>
      </c>
      <c r="AA160" s="157">
        <f ca="1">IF($C160="S",IF($Z160="CP",$X160,IF($Z160="RA",(($X160)*QCI!$AA$3),0)),SomaAgrup)</f>
        <v>3881.25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str">
        <f t="shared" ca="1" si="69"/>
        <v>SINAPI 95305</v>
      </c>
      <c r="AF160" s="160" t="str">
        <f t="shared" ca="1" si="70"/>
        <v>(abra o arquivo 'Referência 05-2023.xls)</v>
      </c>
      <c r="AG160" s="550">
        <f t="shared" ca="1" si="71"/>
        <v>0</v>
      </c>
      <c r="AH160" s="551">
        <f t="shared" ca="1" si="72"/>
        <v>0.24390000000000001</v>
      </c>
      <c r="AJ160" s="553">
        <v>225</v>
      </c>
      <c r="AL160" s="574"/>
      <c r="AM160" s="431">
        <f t="shared" ca="1" si="73"/>
        <v>3881.25</v>
      </c>
      <c r="AN160" s="617">
        <f t="shared" ca="1" si="74"/>
        <v>17.25</v>
      </c>
    </row>
    <row r="161" spans="1:40" ht="25.5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7</v>
      </c>
      <c r="G161">
        <f t="shared" ca="1" si="55"/>
        <v>0</v>
      </c>
      <c r="H161">
        <f t="shared" ca="1" si="56"/>
        <v>0</v>
      </c>
      <c r="I161">
        <f t="shared" ca="1" si="57"/>
        <v>4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>F</v>
      </c>
      <c r="M161" s="145" t="s">
        <v>198</v>
      </c>
      <c r="N161" s="146" t="str">
        <f t="shared" ca="1" si="60"/>
        <v>Serviço</v>
      </c>
      <c r="O161" s="147" t="str">
        <f t="shared" ca="1" si="61"/>
        <v>1.7.4.</v>
      </c>
      <c r="P161" s="148" t="s">
        <v>246</v>
      </c>
      <c r="Q161" s="149" t="s">
        <v>545</v>
      </c>
      <c r="R161" s="150" t="str">
        <f t="shared" ca="1" si="62"/>
        <v>(abra o arquivo 'Referência 05-2023.xls)</v>
      </c>
      <c r="S161" s="151" t="str">
        <f t="shared" ca="1" si="63"/>
        <v>-</v>
      </c>
      <c r="T161" s="152">
        <f ca="1">OFFSET(CÁLCULO!H$15,ROW($T161)-ROW(T$15),0)</f>
        <v>147</v>
      </c>
      <c r="U161" s="153">
        <v>14.08</v>
      </c>
      <c r="V161" s="154" t="s">
        <v>155</v>
      </c>
      <c r="W161" s="152">
        <f t="shared" ca="1" si="64"/>
        <v>17.510000000000002</v>
      </c>
      <c r="X161" s="155">
        <f t="shared" ca="1" si="65"/>
        <v>2573.9699999999998</v>
      </c>
      <c r="Y161" s="156" t="s">
        <v>244</v>
      </c>
      <c r="Z161" t="str">
        <f t="shared" ca="1" si="66"/>
        <v>RA</v>
      </c>
      <c r="AA161" s="157">
        <f ca="1">IF($C161="S",IF($Z161="CP",$X161,IF($Z161="RA",(($X161)*QCI!$AA$3),0)),SomaAgrup)</f>
        <v>2573.9699999999998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str">
        <f t="shared" ca="1" si="69"/>
        <v>SINAPI 88495</v>
      </c>
      <c r="AF161" s="160" t="str">
        <f t="shared" ca="1" si="70"/>
        <v>(abra o arquivo 'Referência 05-2023.xls)</v>
      </c>
      <c r="AG161" s="550">
        <f t="shared" ca="1" si="71"/>
        <v>0</v>
      </c>
      <c r="AH161" s="551">
        <f t="shared" ca="1" si="72"/>
        <v>0.24390000000000001</v>
      </c>
      <c r="AJ161" s="553">
        <v>147</v>
      </c>
      <c r="AL161" s="574"/>
      <c r="AM161" s="431">
        <f t="shared" ca="1" si="73"/>
        <v>2573.9699999999998</v>
      </c>
      <c r="AN161" s="617">
        <f t="shared" ca="1" si="74"/>
        <v>17.510000000000002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7</v>
      </c>
      <c r="G162">
        <f t="shared" ca="1" si="55"/>
        <v>0</v>
      </c>
      <c r="H162">
        <f t="shared" ca="1" si="56"/>
        <v>0</v>
      </c>
      <c r="I162">
        <f t="shared" ca="1" si="57"/>
        <v>4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(abra o arquivo 'Referência 05-2023.xls)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(abra o arquivo 'Referência 05-2023.xls)</v>
      </c>
      <c r="AG162" s="550">
        <f t="shared" ca="1" si="71"/>
        <v>0</v>
      </c>
      <c r="AH162" s="551">
        <f t="shared" ca="1" si="72"/>
        <v>0.24390000000000001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7</v>
      </c>
      <c r="G163">
        <f t="shared" ca="1" si="55"/>
        <v>0</v>
      </c>
      <c r="H163">
        <f t="shared" ca="1" si="56"/>
        <v>0</v>
      </c>
      <c r="I163">
        <f t="shared" ca="1" si="57"/>
        <v>4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(abra o arquivo 'Referência 05-2023.xls)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(abra o arquivo 'Referência 05-2023.xls)</v>
      </c>
      <c r="AG163" s="550">
        <f t="shared" ca="1" si="71"/>
        <v>0</v>
      </c>
      <c r="AH163" s="551">
        <f t="shared" ca="1" si="72"/>
        <v>0.24390000000000001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7</v>
      </c>
      <c r="G164">
        <f t="shared" ca="1" si="55"/>
        <v>0</v>
      </c>
      <c r="H164">
        <f t="shared" ca="1" si="56"/>
        <v>0</v>
      </c>
      <c r="I164">
        <f t="shared" ca="1" si="57"/>
        <v>4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(abra o arquivo 'Referência 05-2023.xls)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(abra o arquivo 'Referência 05-2023.xls)</v>
      </c>
      <c r="AG164" s="550">
        <f t="shared" ca="1" si="71"/>
        <v>0</v>
      </c>
      <c r="AH164" s="551">
        <f t="shared" ca="1" si="72"/>
        <v>0.24390000000000001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7</v>
      </c>
      <c r="G165">
        <f t="shared" ca="1" si="55"/>
        <v>0</v>
      </c>
      <c r="H165">
        <f t="shared" ca="1" si="56"/>
        <v>0</v>
      </c>
      <c r="I165">
        <f t="shared" ca="1" si="57"/>
        <v>4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(abra o arquivo 'Referência 05-2023.xls)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(abra o arquivo 'Referência 05-2023.xls)</v>
      </c>
      <c r="AG165" s="550">
        <f t="shared" ca="1" si="71"/>
        <v>0</v>
      </c>
      <c r="AH165" s="551">
        <f t="shared" ca="1" si="72"/>
        <v>0.24390000000000001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7</v>
      </c>
      <c r="G166">
        <f t="shared" ca="1" si="55"/>
        <v>0</v>
      </c>
      <c r="H166">
        <f t="shared" ca="1" si="56"/>
        <v>0</v>
      </c>
      <c r="I166">
        <f t="shared" ca="1" si="57"/>
        <v>4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(abra o arquivo 'Referência 05-2023.xls)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(abra o arquivo 'Referência 05-2023.xls)</v>
      </c>
      <c r="AG166" s="550">
        <f t="shared" ca="1" si="71"/>
        <v>0</v>
      </c>
      <c r="AH166" s="551">
        <f t="shared" ca="1" si="72"/>
        <v>0.24390000000000001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7</v>
      </c>
      <c r="G167">
        <f t="shared" ca="1" si="55"/>
        <v>0</v>
      </c>
      <c r="H167">
        <f t="shared" ca="1" si="56"/>
        <v>0</v>
      </c>
      <c r="I167">
        <f t="shared" ca="1" si="57"/>
        <v>4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(abra o arquivo 'Referência 05-2023.xls)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(abra o arquivo 'Referência 05-2023.xls)</v>
      </c>
      <c r="AG167" s="550">
        <f t="shared" ca="1" si="71"/>
        <v>0</v>
      </c>
      <c r="AH167" s="551">
        <f t="shared" ca="1" si="72"/>
        <v>0.24390000000000001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7</v>
      </c>
      <c r="G168">
        <f t="shared" ca="1" si="55"/>
        <v>0</v>
      </c>
      <c r="H168">
        <f t="shared" ca="1" si="56"/>
        <v>0</v>
      </c>
      <c r="I168">
        <f t="shared" ca="1" si="57"/>
        <v>4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(abra o arquivo 'Referência 05-2023.xls)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(abra o arquivo 'Referência 05-2023.xls)</v>
      </c>
      <c r="AG168" s="550">
        <f t="shared" ca="1" si="71"/>
        <v>0</v>
      </c>
      <c r="AH168" s="551">
        <f t="shared" ca="1" si="72"/>
        <v>0.24390000000000001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x14ac:dyDescent="0.2">
      <c r="A169">
        <f t="shared" si="50"/>
        <v>2</v>
      </c>
      <c r="B169">
        <f t="shared" ca="1" si="51"/>
        <v>2</v>
      </c>
      <c r="C169">
        <f t="shared" ca="1" si="52"/>
        <v>2</v>
      </c>
      <c r="D169">
        <f t="shared" ca="1" si="53"/>
        <v>8</v>
      </c>
      <c r="E169">
        <f ca="1">IF($C169=1,OFFSET(E169,-1,0)+MAX(1,COUNTIF(QCI!$A$13:$A$24,OFFSET(ORÇAMENTO!E169,-1,0))),OFFSET(E169,-1,0))</f>
        <v>1</v>
      </c>
      <c r="F169">
        <f t="shared" ca="1" si="54"/>
        <v>8</v>
      </c>
      <c r="G169">
        <f t="shared" ca="1" si="55"/>
        <v>0</v>
      </c>
      <c r="H169">
        <f t="shared" ca="1" si="56"/>
        <v>0</v>
      </c>
      <c r="I169">
        <f t="shared" ca="1" si="57"/>
        <v>0</v>
      </c>
      <c r="J169">
        <f t="shared" ca="1" si="58"/>
        <v>97</v>
      </c>
      <c r="K169">
        <f ca="1">IF(OR($C169="S",$C169=0),0,MATCH(OFFSET($D169,0,$C169)+IF($C169&lt;&gt;1,1,COUNTIF(QCI!$A$13:$A$24,ORÇAMENTO!E169)),OFFSET($D169,1,$C169,ROW($C$266)-ROW($C169)),0))</f>
        <v>8</v>
      </c>
      <c r="L169" s="144" t="str">
        <f t="shared" ca="1" si="59"/>
        <v>F</v>
      </c>
      <c r="M169" s="145" t="s">
        <v>195</v>
      </c>
      <c r="N169" s="146" t="str">
        <f t="shared" ca="1" si="60"/>
        <v>Nível 2</v>
      </c>
      <c r="O169" s="147" t="str">
        <f t="shared" ca="1" si="61"/>
        <v>1.8.</v>
      </c>
      <c r="P169" s="148" t="s">
        <v>246</v>
      </c>
      <c r="Q169" s="149"/>
      <c r="R169" s="150" t="s">
        <v>483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13506.71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13506.710000000001</v>
      </c>
      <c r="AB169" s="158">
        <f t="shared" ca="1" si="67"/>
        <v>0</v>
      </c>
      <c r="AC169" s="159" t="str">
        <f t="shared" ca="1" si="68"/>
        <v/>
      </c>
      <c r="AD169" s="105">
        <f ca="1">IF(C169&lt;=CRONO.NivelExibicao,MAX($AD$15:OFFSET(AD169,-1,0))+IF($C169&lt;&gt;1,1,MAX(1,COUNTIF(QCI!$A$13:$A$24,OFFSET($E169,-1,0)))),"")</f>
        <v>9</v>
      </c>
      <c r="AE169" s="115" t="b">
        <f t="shared" ca="1" si="69"/>
        <v>0</v>
      </c>
      <c r="AF169" s="160" t="str">
        <f t="shared" ca="1" si="70"/>
        <v>(abra o arquivo 'Referência 05-2023.xls)</v>
      </c>
      <c r="AG169" s="550">
        <f t="shared" ca="1" si="71"/>
        <v>0</v>
      </c>
      <c r="AH169" s="551">
        <f t="shared" ca="1" si="72"/>
        <v>0.24390000000000001</v>
      </c>
      <c r="AJ169" s="553"/>
      <c r="AL169" s="574"/>
      <c r="AM169" s="431">
        <f t="shared" ca="1" si="73"/>
        <v>13506.71</v>
      </c>
      <c r="AN169" s="617">
        <f t="shared" ca="1" si="74"/>
        <v>0</v>
      </c>
    </row>
    <row r="170" spans="1:40" ht="38.25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8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>F</v>
      </c>
      <c r="M170" s="145" t="s">
        <v>198</v>
      </c>
      <c r="N170" s="146" t="str">
        <f t="shared" ca="1" si="60"/>
        <v>Serviço</v>
      </c>
      <c r="O170" s="147" t="str">
        <f t="shared" ca="1" si="61"/>
        <v>1.8.1.</v>
      </c>
      <c r="P170" s="148" t="s">
        <v>246</v>
      </c>
      <c r="Q170" s="149" t="s">
        <v>535</v>
      </c>
      <c r="R170" s="150" t="str">
        <f t="shared" ca="1" si="62"/>
        <v>(abra o arquivo 'Referência 05-2023.xls)</v>
      </c>
      <c r="S170" s="151" t="str">
        <f t="shared" ca="1" si="63"/>
        <v>-</v>
      </c>
      <c r="T170" s="152">
        <f ca="1">OFFSET(CÁLCULO!H$15,ROW($T170)-ROW(T$15),0)</f>
        <v>3</v>
      </c>
      <c r="U170" s="153">
        <v>108.5</v>
      </c>
      <c r="V170" s="154" t="s">
        <v>155</v>
      </c>
      <c r="W170" s="152">
        <f t="shared" ca="1" si="64"/>
        <v>134.96</v>
      </c>
      <c r="X170" s="155">
        <f t="shared" ca="1" si="65"/>
        <v>404.88</v>
      </c>
      <c r="Y170" s="156" t="s">
        <v>244</v>
      </c>
      <c r="Z170" t="str">
        <f t="shared" ca="1" si="66"/>
        <v>RA</v>
      </c>
      <c r="AA170" s="157">
        <f ca="1">IF($C170="S",IF($Z170="CP",$X170,IF($Z170="RA",(($X170)*QCI!$AA$3),0)),SomaAgrup)</f>
        <v>404.88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str">
        <f t="shared" ca="1" si="69"/>
        <v>SINAPI 86910</v>
      </c>
      <c r="AF170" s="160" t="str">
        <f t="shared" ca="1" si="70"/>
        <v>(abra o arquivo 'Referência 05-2023.xls)</v>
      </c>
      <c r="AG170" s="550">
        <f t="shared" ca="1" si="71"/>
        <v>0</v>
      </c>
      <c r="AH170" s="551">
        <f t="shared" ca="1" si="72"/>
        <v>0.24390000000000001</v>
      </c>
      <c r="AJ170" s="553">
        <v>3</v>
      </c>
      <c r="AL170" s="574"/>
      <c r="AM170" s="431">
        <f t="shared" ca="1" si="73"/>
        <v>404.88</v>
      </c>
      <c r="AN170" s="617">
        <f t="shared" ca="1" si="74"/>
        <v>134.96</v>
      </c>
    </row>
    <row r="171" spans="1:40" ht="38.25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8</v>
      </c>
      <c r="G171">
        <f t="shared" ca="1" si="55"/>
        <v>0</v>
      </c>
      <c r="H171">
        <f t="shared" ca="1" si="56"/>
        <v>0</v>
      </c>
      <c r="I171">
        <f t="shared" ca="1" si="57"/>
        <v>2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>F</v>
      </c>
      <c r="M171" s="145" t="s">
        <v>198</v>
      </c>
      <c r="N171" s="146" t="str">
        <f t="shared" ca="1" si="60"/>
        <v>Serviço</v>
      </c>
      <c r="O171" s="147" t="str">
        <f t="shared" ca="1" si="61"/>
        <v>1.8.2.</v>
      </c>
      <c r="P171" s="148" t="s">
        <v>246</v>
      </c>
      <c r="Q171" s="149" t="s">
        <v>485</v>
      </c>
      <c r="R171" s="150" t="str">
        <f t="shared" ca="1" si="62"/>
        <v>(abra o arquivo 'Referência 05-2023.xls)</v>
      </c>
      <c r="S171" s="151" t="str">
        <f t="shared" ca="1" si="63"/>
        <v>-</v>
      </c>
      <c r="T171" s="152">
        <f ca="1">OFFSET(CÁLCULO!H$15,ROW($T171)-ROW(T$15),0)</f>
        <v>2</v>
      </c>
      <c r="U171" s="153">
        <v>390.8</v>
      </c>
      <c r="V171" s="154" t="s">
        <v>155</v>
      </c>
      <c r="W171" s="152">
        <f t="shared" ca="1" si="64"/>
        <v>486.12</v>
      </c>
      <c r="X171" s="155">
        <f t="shared" ca="1" si="65"/>
        <v>972.24</v>
      </c>
      <c r="Y171" s="156" t="s">
        <v>244</v>
      </c>
      <c r="Z171" t="str">
        <f t="shared" ca="1" si="66"/>
        <v>RA</v>
      </c>
      <c r="AA171" s="157">
        <f ca="1">IF($C171="S",IF($Z171="CP",$X171,IF($Z171="RA",(($X171)*QCI!$AA$3),0)),SomaAgrup)</f>
        <v>972.24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str">
        <f t="shared" ca="1" si="69"/>
        <v>SINAPI 86903</v>
      </c>
      <c r="AF171" s="160" t="str">
        <f t="shared" ca="1" si="70"/>
        <v>(abra o arquivo 'Referência 05-2023.xls)</v>
      </c>
      <c r="AG171" s="550">
        <f t="shared" ca="1" si="71"/>
        <v>0</v>
      </c>
      <c r="AH171" s="551">
        <f t="shared" ca="1" si="72"/>
        <v>0.24390000000000001</v>
      </c>
      <c r="AJ171" s="553">
        <v>2</v>
      </c>
      <c r="AL171" s="574"/>
      <c r="AM171" s="431">
        <f t="shared" ca="1" si="73"/>
        <v>972.24</v>
      </c>
      <c r="AN171" s="617">
        <f t="shared" ca="1" si="74"/>
        <v>486.12</v>
      </c>
    </row>
    <row r="172" spans="1:40" ht="63.75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8</v>
      </c>
      <c r="G172">
        <f t="shared" ca="1" si="55"/>
        <v>0</v>
      </c>
      <c r="H172">
        <f t="shared" ca="1" si="56"/>
        <v>0</v>
      </c>
      <c r="I172">
        <f t="shared" ca="1" si="57"/>
        <v>3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>F</v>
      </c>
      <c r="M172" s="145" t="s">
        <v>198</v>
      </c>
      <c r="N172" s="146" t="str">
        <f t="shared" ca="1" si="60"/>
        <v>Serviço</v>
      </c>
      <c r="O172" s="147" t="str">
        <f t="shared" ca="1" si="61"/>
        <v>1.8.3.</v>
      </c>
      <c r="P172" s="148" t="s">
        <v>246</v>
      </c>
      <c r="Q172" s="149" t="s">
        <v>487</v>
      </c>
      <c r="R172" s="150" t="str">
        <f t="shared" ca="1" si="62"/>
        <v>(abra o arquivo 'Referência 05-2023.xls)</v>
      </c>
      <c r="S172" s="151" t="str">
        <f t="shared" ca="1" si="63"/>
        <v>-</v>
      </c>
      <c r="T172" s="152">
        <f ca="1">OFFSET(CÁLCULO!H$15,ROW($T172)-ROW(T$15),0)</f>
        <v>85</v>
      </c>
      <c r="U172" s="153">
        <v>52.22</v>
      </c>
      <c r="V172" s="154" t="s">
        <v>155</v>
      </c>
      <c r="W172" s="152">
        <f t="shared" ca="1" si="64"/>
        <v>64.959999999999994</v>
      </c>
      <c r="X172" s="155">
        <f t="shared" ca="1" si="65"/>
        <v>5521.6</v>
      </c>
      <c r="Y172" s="156" t="s">
        <v>244</v>
      </c>
      <c r="Z172" t="str">
        <f t="shared" ca="1" si="66"/>
        <v>RA</v>
      </c>
      <c r="AA172" s="157">
        <f ca="1">IF($C172="S",IF($Z172="CP",$X172,IF($Z172="RA",(($X172)*QCI!$AA$3),0)),SomaAgrup)</f>
        <v>5521.6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str">
        <f t="shared" ca="1" si="69"/>
        <v>SINAPI 91785</v>
      </c>
      <c r="AF172" s="160" t="str">
        <f t="shared" ca="1" si="70"/>
        <v>(abra o arquivo 'Referência 05-2023.xls)</v>
      </c>
      <c r="AG172" s="550">
        <f t="shared" ca="1" si="71"/>
        <v>0</v>
      </c>
      <c r="AH172" s="551">
        <f t="shared" ca="1" si="72"/>
        <v>0.24390000000000001</v>
      </c>
      <c r="AJ172" s="553">
        <v>85</v>
      </c>
      <c r="AL172" s="574"/>
      <c r="AM172" s="431">
        <f t="shared" ca="1" si="73"/>
        <v>5521.6</v>
      </c>
      <c r="AN172" s="617">
        <f t="shared" ca="1" si="74"/>
        <v>64.959999999999994</v>
      </c>
    </row>
    <row r="173" spans="1:40" ht="5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8</v>
      </c>
      <c r="G173">
        <f t="shared" ca="1" si="55"/>
        <v>0</v>
      </c>
      <c r="H173">
        <f t="shared" ca="1" si="56"/>
        <v>0</v>
      </c>
      <c r="I173">
        <f t="shared" ca="1" si="57"/>
        <v>4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>F</v>
      </c>
      <c r="M173" s="145" t="s">
        <v>198</v>
      </c>
      <c r="N173" s="146" t="str">
        <f t="shared" ca="1" si="60"/>
        <v>Serviço</v>
      </c>
      <c r="O173" s="147" t="str">
        <f t="shared" ca="1" si="61"/>
        <v>1.8.4.</v>
      </c>
      <c r="P173" s="148" t="s">
        <v>481</v>
      </c>
      <c r="Q173" s="149" t="s">
        <v>488</v>
      </c>
      <c r="R173" s="150" t="str">
        <f t="shared" ca="1" si="62"/>
        <v>(abra o arquivo 'Referência 05-2023.xls)</v>
      </c>
      <c r="S173" s="151" t="str">
        <f t="shared" ca="1" si="63"/>
        <v>-</v>
      </c>
      <c r="T173" s="152">
        <f ca="1">OFFSET(CÁLCULO!H$15,ROW($T173)-ROW(T$15),0)</f>
        <v>1</v>
      </c>
      <c r="U173" s="153">
        <v>3926.66</v>
      </c>
      <c r="V173" s="154" t="s">
        <v>155</v>
      </c>
      <c r="W173" s="152">
        <f t="shared" ca="1" si="64"/>
        <v>4884.37</v>
      </c>
      <c r="X173" s="155">
        <f t="shared" ca="1" si="65"/>
        <v>4884.37</v>
      </c>
      <c r="Y173" s="156" t="s">
        <v>244</v>
      </c>
      <c r="Z173" t="str">
        <f t="shared" ca="1" si="66"/>
        <v>RA</v>
      </c>
      <c r="AA173" s="157">
        <f ca="1">IF($C173="S",IF($Z173="CP",$X173,IF($Z173="RA",(($X173)*QCI!$AA$3),0)),SomaAgrup)</f>
        <v>4884.37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str">
        <f t="shared" ca="1" si="69"/>
        <v>Composição 02</v>
      </c>
      <c r="AF173" s="160" t="str">
        <f t="shared" ca="1" si="70"/>
        <v>(abra o arquivo 'Referência 05-2023.xls)</v>
      </c>
      <c r="AG173" s="550">
        <f t="shared" ca="1" si="71"/>
        <v>0</v>
      </c>
      <c r="AH173" s="551">
        <f t="shared" ca="1" si="72"/>
        <v>0.24390000000000001</v>
      </c>
      <c r="AJ173" s="553">
        <v>1</v>
      </c>
      <c r="AL173" s="574"/>
      <c r="AM173" s="431">
        <f t="shared" ca="1" si="73"/>
        <v>4884.37</v>
      </c>
      <c r="AN173" s="617">
        <f t="shared" ca="1" si="74"/>
        <v>4884.37</v>
      </c>
    </row>
    <row r="174" spans="1:40" ht="25.5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8</v>
      </c>
      <c r="G174">
        <f t="shared" ca="1" si="55"/>
        <v>0</v>
      </c>
      <c r="H174">
        <f t="shared" ca="1" si="56"/>
        <v>0</v>
      </c>
      <c r="I174">
        <f t="shared" ca="1" si="57"/>
        <v>5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>F</v>
      </c>
      <c r="M174" s="145" t="s">
        <v>198</v>
      </c>
      <c r="N174" s="146" t="str">
        <f t="shared" ca="1" si="60"/>
        <v>Serviço</v>
      </c>
      <c r="O174" s="147" t="str">
        <f t="shared" ca="1" si="61"/>
        <v>1.8.5.</v>
      </c>
      <c r="P174" s="148" t="s">
        <v>246</v>
      </c>
      <c r="Q174" s="149" t="s">
        <v>489</v>
      </c>
      <c r="R174" s="150" t="str">
        <f t="shared" ca="1" si="62"/>
        <v>(abra o arquivo 'Referência 05-2023.xls)</v>
      </c>
      <c r="S174" s="151" t="str">
        <f t="shared" ca="1" si="63"/>
        <v>-</v>
      </c>
      <c r="T174" s="152">
        <f ca="1">OFFSET(CÁLCULO!H$15,ROW($T174)-ROW(T$15),0)</f>
        <v>2</v>
      </c>
      <c r="U174" s="153">
        <v>121.04</v>
      </c>
      <c r="V174" s="154" t="s">
        <v>155</v>
      </c>
      <c r="W174" s="152">
        <f t="shared" ca="1" si="64"/>
        <v>150.56</v>
      </c>
      <c r="X174" s="155">
        <f t="shared" ca="1" si="65"/>
        <v>301.12</v>
      </c>
      <c r="Y174" s="156" t="s">
        <v>244</v>
      </c>
      <c r="Z174" t="str">
        <f t="shared" ca="1" si="66"/>
        <v>RA</v>
      </c>
      <c r="AA174" s="157">
        <f ca="1">IF($C174="S",IF($Z174="CP",$X174,IF($Z174="RA",(($X174)*QCI!$AA$3),0)),SomaAgrup)</f>
        <v>301.12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str">
        <f t="shared" ca="1" si="69"/>
        <v>SINAPI 86915</v>
      </c>
      <c r="AF174" s="160" t="str">
        <f t="shared" ca="1" si="70"/>
        <v>(abra o arquivo 'Referência 05-2023.xls)</v>
      </c>
      <c r="AG174" s="550">
        <f t="shared" ca="1" si="71"/>
        <v>0</v>
      </c>
      <c r="AH174" s="551">
        <f t="shared" ca="1" si="72"/>
        <v>0.24390000000000001</v>
      </c>
      <c r="AJ174" s="553">
        <v>2</v>
      </c>
      <c r="AL174" s="574"/>
      <c r="AM174" s="431">
        <f t="shared" ca="1" si="73"/>
        <v>301.12</v>
      </c>
      <c r="AN174" s="617">
        <f t="shared" ca="1" si="74"/>
        <v>150.56</v>
      </c>
    </row>
    <row r="175" spans="1:40" ht="5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8</v>
      </c>
      <c r="G175">
        <f t="shared" ca="1" si="55"/>
        <v>0</v>
      </c>
      <c r="H175">
        <f t="shared" ca="1" si="56"/>
        <v>0</v>
      </c>
      <c r="I175">
        <f t="shared" ca="1" si="57"/>
        <v>6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>F</v>
      </c>
      <c r="M175" s="145" t="s">
        <v>198</v>
      </c>
      <c r="N175" s="146" t="str">
        <f t="shared" ca="1" si="60"/>
        <v>Serviço</v>
      </c>
      <c r="O175" s="147" t="str">
        <f t="shared" ca="1" si="61"/>
        <v>1.8.6.</v>
      </c>
      <c r="P175" s="148" t="s">
        <v>246</v>
      </c>
      <c r="Q175" s="149" t="s">
        <v>494</v>
      </c>
      <c r="R175" s="150" t="str">
        <f t="shared" ca="1" si="62"/>
        <v>(abra o arquivo 'Referência 05-2023.xls)</v>
      </c>
      <c r="S175" s="151" t="str">
        <f t="shared" ca="1" si="63"/>
        <v>-</v>
      </c>
      <c r="T175" s="152">
        <f ca="1">OFFSET(CÁLCULO!H$15,ROW($T175)-ROW(T$15),0)</f>
        <v>25</v>
      </c>
      <c r="U175" s="153">
        <v>45.74</v>
      </c>
      <c r="V175" s="154" t="s">
        <v>155</v>
      </c>
      <c r="W175" s="152">
        <f t="shared" ca="1" si="64"/>
        <v>56.9</v>
      </c>
      <c r="X175" s="155">
        <f t="shared" ca="1" si="65"/>
        <v>1422.5</v>
      </c>
      <c r="Y175" s="156" t="s">
        <v>244</v>
      </c>
      <c r="Z175" t="str">
        <f t="shared" ca="1" si="66"/>
        <v>RA</v>
      </c>
      <c r="AA175" s="157">
        <f ca="1">IF($C175="S",IF($Z175="CP",$X175,IF($Z175="RA",(($X175)*QCI!$AA$3),0)),SomaAgrup)</f>
        <v>1422.5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str">
        <f t="shared" ca="1" si="69"/>
        <v>SINAPI 91788</v>
      </c>
      <c r="AF175" s="160" t="str">
        <f t="shared" ca="1" si="70"/>
        <v>(abra o arquivo 'Referência 05-2023.xls)</v>
      </c>
      <c r="AG175" s="550">
        <f t="shared" ca="1" si="71"/>
        <v>0</v>
      </c>
      <c r="AH175" s="551">
        <f t="shared" ca="1" si="72"/>
        <v>0.24390000000000001</v>
      </c>
      <c r="AJ175" s="553">
        <v>25</v>
      </c>
      <c r="AL175" s="574"/>
      <c r="AM175" s="431">
        <f t="shared" ca="1" si="73"/>
        <v>1422.5</v>
      </c>
      <c r="AN175" s="617">
        <f t="shared" ca="1" si="74"/>
        <v>56.9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8</v>
      </c>
      <c r="G176">
        <f t="shared" ca="1" si="55"/>
        <v>0</v>
      </c>
      <c r="H176">
        <f t="shared" ca="1" si="56"/>
        <v>0</v>
      </c>
      <c r="I176">
        <f t="shared" ca="1" si="57"/>
        <v>6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450</v>
      </c>
      <c r="Q176" s="149"/>
      <c r="R176" s="150" t="str">
        <f t="shared" ca="1" si="62"/>
        <v>(abra o arquivo 'Referência 05-2023.xls)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(abra o arquivo 'Referência 05-2023.xls)</v>
      </c>
      <c r="AG176" s="550">
        <f t="shared" ca="1" si="71"/>
        <v>0</v>
      </c>
      <c r="AH176" s="551">
        <f t="shared" ca="1" si="72"/>
        <v>0.24390000000000001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x14ac:dyDescent="0.2">
      <c r="A177">
        <f t="shared" si="50"/>
        <v>2</v>
      </c>
      <c r="B177">
        <f t="shared" ca="1" si="51"/>
        <v>2</v>
      </c>
      <c r="C177">
        <f t="shared" ca="1" si="52"/>
        <v>2</v>
      </c>
      <c r="D177">
        <f t="shared" ca="1" si="53"/>
        <v>17</v>
      </c>
      <c r="E177">
        <f ca="1">IF($C177=1,OFFSET(E177,-1,0)+MAX(1,COUNTIF(QCI!$A$13:$A$24,OFFSET(ORÇAMENTO!E177,-1,0))),OFFSET(E177,-1,0))</f>
        <v>1</v>
      </c>
      <c r="F177">
        <f t="shared" ca="1" si="54"/>
        <v>9</v>
      </c>
      <c r="G177">
        <f t="shared" ca="1" si="55"/>
        <v>0</v>
      </c>
      <c r="H177">
        <f t="shared" ca="1" si="56"/>
        <v>0</v>
      </c>
      <c r="I177">
        <f t="shared" ca="1" si="57"/>
        <v>0</v>
      </c>
      <c r="J177">
        <f t="shared" ca="1" si="58"/>
        <v>89</v>
      </c>
      <c r="K177">
        <f ca="1">IF(OR($C177="S",$C177=0),0,MATCH(OFFSET($D177,0,$C177)+IF($C177&lt;&gt;1,1,COUNTIF(QCI!$A$13:$A$24,ORÇAMENTO!E177)),OFFSET($D177,1,$C177,ROW($C$266)-ROW($C177)),0))</f>
        <v>17</v>
      </c>
      <c r="L177" s="144" t="str">
        <f t="shared" ca="1" si="59"/>
        <v>F</v>
      </c>
      <c r="M177" s="145" t="s">
        <v>195</v>
      </c>
      <c r="N177" s="146" t="str">
        <f t="shared" ca="1" si="60"/>
        <v>Nível 2</v>
      </c>
      <c r="O177" s="147" t="str">
        <f t="shared" ca="1" si="61"/>
        <v>1.9.</v>
      </c>
      <c r="P177" s="148" t="s">
        <v>246</v>
      </c>
      <c r="Q177" s="149"/>
      <c r="R177" s="150" t="s">
        <v>511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85143.61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85143.61</v>
      </c>
      <c r="AB177" s="158">
        <f t="shared" ca="1" si="67"/>
        <v>0</v>
      </c>
      <c r="AC177" s="159" t="str">
        <f t="shared" ca="1" si="68"/>
        <v/>
      </c>
      <c r="AD177" s="105">
        <f ca="1">IF(C177&lt;=CRONO.NivelExibicao,MAX($AD$15:OFFSET(AD177,-1,0))+IF($C177&lt;&gt;1,1,MAX(1,COUNTIF(QCI!$A$13:$A$24,OFFSET($E177,-1,0)))),"")</f>
        <v>10</v>
      </c>
      <c r="AE177" s="115" t="b">
        <f t="shared" ca="1" si="69"/>
        <v>0</v>
      </c>
      <c r="AF177" s="160" t="str">
        <f t="shared" ca="1" si="70"/>
        <v>(abra o arquivo 'Referência 05-2023.xls)</v>
      </c>
      <c r="AG177" s="550">
        <f t="shared" ca="1" si="71"/>
        <v>0</v>
      </c>
      <c r="AH177" s="551">
        <f t="shared" ca="1" si="72"/>
        <v>0.24390000000000001</v>
      </c>
      <c r="AJ177" s="553"/>
      <c r="AL177" s="574"/>
      <c r="AM177" s="431">
        <f t="shared" ca="1" si="73"/>
        <v>85143.61</v>
      </c>
      <c r="AN177" s="617">
        <f t="shared" ca="1" si="74"/>
        <v>0</v>
      </c>
    </row>
    <row r="178" spans="1:40" ht="5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9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>F</v>
      </c>
      <c r="M178" s="145" t="s">
        <v>198</v>
      </c>
      <c r="N178" s="146" t="str">
        <f t="shared" ca="1" si="60"/>
        <v>Serviço</v>
      </c>
      <c r="O178" s="147" t="str">
        <f t="shared" ca="1" si="61"/>
        <v>1.9.1.</v>
      </c>
      <c r="P178" s="148" t="s">
        <v>246</v>
      </c>
      <c r="Q178" s="149" t="s">
        <v>479</v>
      </c>
      <c r="R178" s="150" t="str">
        <f t="shared" ca="1" si="62"/>
        <v>(abra o arquivo 'Referência 05-2023.xls)</v>
      </c>
      <c r="S178" s="151" t="str">
        <f t="shared" ca="1" si="63"/>
        <v>-</v>
      </c>
      <c r="T178" s="152">
        <f ca="1">OFFSET(CÁLCULO!H$15,ROW($T178)-ROW(T$15),0)</f>
        <v>32</v>
      </c>
      <c r="U178" s="153">
        <v>684.74</v>
      </c>
      <c r="V178" s="154" t="s">
        <v>155</v>
      </c>
      <c r="W178" s="152">
        <f t="shared" ca="1" si="64"/>
        <v>851.75</v>
      </c>
      <c r="X178" s="155">
        <f t="shared" ca="1" si="65"/>
        <v>27256</v>
      </c>
      <c r="Y178" s="156" t="s">
        <v>244</v>
      </c>
      <c r="Z178" t="str">
        <f t="shared" ca="1" si="66"/>
        <v>RA</v>
      </c>
      <c r="AA178" s="157">
        <f ca="1">IF($C178="S",IF($Z178="CP",$X178,IF($Z178="RA",(($X178)*QCI!$AA$3),0)),SomaAgrup)</f>
        <v>27256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str">
        <f t="shared" ca="1" si="69"/>
        <v>SINAPI 94573</v>
      </c>
      <c r="AF178" s="160" t="str">
        <f t="shared" ca="1" si="70"/>
        <v>(abra o arquivo 'Referência 05-2023.xls)</v>
      </c>
      <c r="AG178" s="550">
        <f t="shared" ca="1" si="71"/>
        <v>0</v>
      </c>
      <c r="AH178" s="551">
        <f t="shared" ca="1" si="72"/>
        <v>0.24390000000000001</v>
      </c>
      <c r="AJ178" s="553">
        <v>32</v>
      </c>
      <c r="AL178" s="574"/>
      <c r="AM178" s="431">
        <f t="shared" ca="1" si="73"/>
        <v>27256</v>
      </c>
      <c r="AN178" s="617">
        <f t="shared" ca="1" si="74"/>
        <v>851.75</v>
      </c>
    </row>
    <row r="179" spans="1:40" ht="38.25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9</v>
      </c>
      <c r="G179">
        <f t="shared" ca="1" si="55"/>
        <v>0</v>
      </c>
      <c r="H179">
        <f t="shared" ca="1" si="56"/>
        <v>0</v>
      </c>
      <c r="I179">
        <f t="shared" ca="1" si="57"/>
        <v>2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>F</v>
      </c>
      <c r="M179" s="145" t="s">
        <v>198</v>
      </c>
      <c r="N179" s="146" t="str">
        <f t="shared" ca="1" si="60"/>
        <v>Serviço</v>
      </c>
      <c r="O179" s="147" t="str">
        <f t="shared" ca="1" si="61"/>
        <v>1.9.2.</v>
      </c>
      <c r="P179" s="148" t="s">
        <v>246</v>
      </c>
      <c r="Q179" s="149" t="s">
        <v>480</v>
      </c>
      <c r="R179" s="150" t="str">
        <f t="shared" ca="1" si="62"/>
        <v>(abra o arquivo 'Referência 05-2023.xls)</v>
      </c>
      <c r="S179" s="151" t="str">
        <f t="shared" ca="1" si="63"/>
        <v>-</v>
      </c>
      <c r="T179" s="152">
        <f ca="1">OFFSET(CÁLCULO!H$15,ROW($T179)-ROW(T$15),0)</f>
        <v>12.2</v>
      </c>
      <c r="U179" s="153">
        <v>1455.54</v>
      </c>
      <c r="V179" s="154" t="s">
        <v>155</v>
      </c>
      <c r="W179" s="152">
        <f t="shared" ca="1" si="64"/>
        <v>1810.55</v>
      </c>
      <c r="X179" s="155">
        <f t="shared" ca="1" si="65"/>
        <v>22088.71</v>
      </c>
      <c r="Y179" s="156" t="s">
        <v>244</v>
      </c>
      <c r="Z179" t="str">
        <f t="shared" ca="1" si="66"/>
        <v>RA</v>
      </c>
      <c r="AA179" s="157">
        <f ca="1">IF($C179="S",IF($Z179="CP",$X179,IF($Z179="RA",(($X179)*QCI!$AA$3),0)),SomaAgrup)</f>
        <v>22088.71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str">
        <f t="shared" ca="1" si="69"/>
        <v>SINAPI 91338</v>
      </c>
      <c r="AF179" s="160" t="str">
        <f t="shared" ca="1" si="70"/>
        <v>(abra o arquivo 'Referência 05-2023.xls)</v>
      </c>
      <c r="AG179" s="550">
        <f t="shared" ca="1" si="71"/>
        <v>0</v>
      </c>
      <c r="AH179" s="551">
        <f t="shared" ca="1" si="72"/>
        <v>0.24390000000000001</v>
      </c>
      <c r="AJ179" s="553">
        <v>12.2</v>
      </c>
      <c r="AL179" s="574"/>
      <c r="AM179" s="431">
        <f t="shared" ca="1" si="73"/>
        <v>22088.71</v>
      </c>
      <c r="AN179" s="617">
        <f t="shared" ca="1" si="74"/>
        <v>1810.55</v>
      </c>
    </row>
    <row r="180" spans="1:40" ht="38.25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9</v>
      </c>
      <c r="G180">
        <f t="shared" ca="1" si="55"/>
        <v>0</v>
      </c>
      <c r="H180">
        <f t="shared" ca="1" si="56"/>
        <v>0</v>
      </c>
      <c r="I180">
        <f t="shared" ca="1" si="57"/>
        <v>3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>F</v>
      </c>
      <c r="M180" s="145" t="s">
        <v>198</v>
      </c>
      <c r="N180" s="146" t="str">
        <f t="shared" ca="1" si="60"/>
        <v>Serviço</v>
      </c>
      <c r="O180" s="147" t="str">
        <f t="shared" ca="1" si="61"/>
        <v>1.9.3.</v>
      </c>
      <c r="P180" s="148" t="s">
        <v>481</v>
      </c>
      <c r="Q180" s="149" t="s">
        <v>482</v>
      </c>
      <c r="R180" s="150" t="str">
        <f t="shared" ca="1" si="62"/>
        <v>(abra o arquivo 'Referência 05-2023.xls)</v>
      </c>
      <c r="S180" s="151" t="str">
        <f t="shared" ca="1" si="63"/>
        <v>-</v>
      </c>
      <c r="T180" s="152">
        <f ca="1">OFFSET(CÁLCULO!H$15,ROW($T180)-ROW(T$15),0)</f>
        <v>2</v>
      </c>
      <c r="U180" s="153">
        <v>11391.12</v>
      </c>
      <c r="V180" s="154" t="s">
        <v>155</v>
      </c>
      <c r="W180" s="152">
        <f t="shared" ca="1" si="64"/>
        <v>14169.41</v>
      </c>
      <c r="X180" s="155">
        <f t="shared" ca="1" si="65"/>
        <v>28338.82</v>
      </c>
      <c r="Y180" s="156" t="s">
        <v>244</v>
      </c>
      <c r="Z180" t="str">
        <f t="shared" ca="1" si="66"/>
        <v>RA</v>
      </c>
      <c r="AA180" s="157">
        <f ca="1">IF($C180="S",IF($Z180="CP",$X180,IF($Z180="RA",(($X180)*QCI!$AA$3),0)),SomaAgrup)</f>
        <v>28338.82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str">
        <f t="shared" ca="1" si="69"/>
        <v>Composição 01</v>
      </c>
      <c r="AF180" s="160" t="str">
        <f t="shared" ca="1" si="70"/>
        <v>(abra o arquivo 'Referência 05-2023.xls)</v>
      </c>
      <c r="AG180" s="550">
        <f t="shared" ca="1" si="71"/>
        <v>0</v>
      </c>
      <c r="AH180" s="551">
        <f t="shared" ca="1" si="72"/>
        <v>0.24390000000000001</v>
      </c>
      <c r="AJ180" s="553">
        <v>2</v>
      </c>
      <c r="AL180" s="574"/>
      <c r="AM180" s="431">
        <f t="shared" ca="1" si="73"/>
        <v>28338.82</v>
      </c>
      <c r="AN180" s="617">
        <f t="shared" ca="1" si="74"/>
        <v>14169.41</v>
      </c>
    </row>
    <row r="181" spans="1:40" ht="25.5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9</v>
      </c>
      <c r="G181">
        <f t="shared" ca="1" si="55"/>
        <v>0</v>
      </c>
      <c r="H181">
        <f t="shared" ca="1" si="56"/>
        <v>0</v>
      </c>
      <c r="I181">
        <f t="shared" ca="1" si="57"/>
        <v>4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>F</v>
      </c>
      <c r="M181" s="145" t="s">
        <v>198</v>
      </c>
      <c r="N181" s="146" t="str">
        <f t="shared" ca="1" si="60"/>
        <v>Serviço</v>
      </c>
      <c r="O181" s="147" t="str">
        <f t="shared" ca="1" si="61"/>
        <v>1.9.4.</v>
      </c>
      <c r="P181" s="148" t="s">
        <v>481</v>
      </c>
      <c r="Q181" s="149" t="s">
        <v>512</v>
      </c>
      <c r="R181" s="150" t="str">
        <f t="shared" ca="1" si="62"/>
        <v>(abra o arquivo 'Referência 05-2023.xls)</v>
      </c>
      <c r="S181" s="151" t="str">
        <f t="shared" ca="1" si="63"/>
        <v>-</v>
      </c>
      <c r="T181" s="152">
        <f ca="1">OFFSET(CÁLCULO!H$15,ROW($T181)-ROW(T$15),0)</f>
        <v>12</v>
      </c>
      <c r="U181" s="153">
        <v>386.23</v>
      </c>
      <c r="V181" s="154" t="s">
        <v>155</v>
      </c>
      <c r="W181" s="152">
        <f t="shared" ca="1" si="64"/>
        <v>480.43</v>
      </c>
      <c r="X181" s="155">
        <f t="shared" ca="1" si="65"/>
        <v>5765.16</v>
      </c>
      <c r="Y181" s="156" t="s">
        <v>244</v>
      </c>
      <c r="Z181" t="str">
        <f t="shared" ca="1" si="66"/>
        <v>RA</v>
      </c>
      <c r="AA181" s="157">
        <f ca="1">IF($C181="S",IF($Z181="CP",$X181,IF($Z181="RA",(($X181)*QCI!$AA$3),0)),SomaAgrup)</f>
        <v>5765.16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str">
        <f t="shared" ca="1" si="69"/>
        <v>Composição 06</v>
      </c>
      <c r="AF181" s="160" t="str">
        <f t="shared" ca="1" si="70"/>
        <v>(abra o arquivo 'Referência 05-2023.xls)</v>
      </c>
      <c r="AG181" s="550">
        <f t="shared" ca="1" si="71"/>
        <v>0</v>
      </c>
      <c r="AH181" s="551">
        <f t="shared" ca="1" si="72"/>
        <v>0.24390000000000001</v>
      </c>
      <c r="AJ181" s="553">
        <v>12</v>
      </c>
      <c r="AL181" s="574"/>
      <c r="AM181" s="431">
        <f t="shared" ca="1" si="73"/>
        <v>5765.16</v>
      </c>
      <c r="AN181" s="617">
        <f t="shared" ca="1" si="74"/>
        <v>480.43</v>
      </c>
    </row>
    <row r="182" spans="1:40" ht="25.5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9</v>
      </c>
      <c r="G182">
        <f t="shared" ca="1" si="55"/>
        <v>0</v>
      </c>
      <c r="H182">
        <f t="shared" ca="1" si="56"/>
        <v>0</v>
      </c>
      <c r="I182">
        <f t="shared" ca="1" si="57"/>
        <v>5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>F</v>
      </c>
      <c r="M182" s="145" t="s">
        <v>198</v>
      </c>
      <c r="N182" s="146" t="str">
        <f t="shared" ca="1" si="60"/>
        <v>Serviço</v>
      </c>
      <c r="O182" s="147" t="str">
        <f t="shared" ca="1" si="61"/>
        <v>1.9.5.</v>
      </c>
      <c r="P182" s="148" t="s">
        <v>481</v>
      </c>
      <c r="Q182" s="149" t="s">
        <v>515</v>
      </c>
      <c r="R182" s="150" t="str">
        <f t="shared" ca="1" si="62"/>
        <v>(abra o arquivo 'Referência 05-2023.xls)</v>
      </c>
      <c r="S182" s="151" t="str">
        <f t="shared" ca="1" si="63"/>
        <v>-</v>
      </c>
      <c r="T182" s="152">
        <f ca="1">OFFSET(CÁLCULO!H$15,ROW($T182)-ROW(T$15),0)</f>
        <v>1.68</v>
      </c>
      <c r="U182" s="153">
        <v>811.06</v>
      </c>
      <c r="V182" s="154" t="s">
        <v>155</v>
      </c>
      <c r="W182" s="152">
        <f t="shared" ca="1" si="64"/>
        <v>1008.88</v>
      </c>
      <c r="X182" s="155">
        <f t="shared" ca="1" si="65"/>
        <v>1694.92</v>
      </c>
      <c r="Y182" s="156" t="s">
        <v>244</v>
      </c>
      <c r="Z182" t="str">
        <f t="shared" ca="1" si="66"/>
        <v>RA</v>
      </c>
      <c r="AA182" s="157">
        <f ca="1">IF($C182="S",IF($Z182="CP",$X182,IF($Z182="RA",(($X182)*QCI!$AA$3),0)),SomaAgrup)</f>
        <v>1694.92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str">
        <f t="shared" ca="1" si="69"/>
        <v>Composição 07</v>
      </c>
      <c r="AF182" s="160" t="str">
        <f t="shared" ca="1" si="70"/>
        <v>(abra o arquivo 'Referência 05-2023.xls)</v>
      </c>
      <c r="AG182" s="550">
        <f t="shared" ca="1" si="71"/>
        <v>0</v>
      </c>
      <c r="AH182" s="551">
        <f t="shared" ca="1" si="72"/>
        <v>0.24390000000000001</v>
      </c>
      <c r="AJ182" s="553">
        <v>1.68</v>
      </c>
      <c r="AL182" s="574"/>
      <c r="AM182" s="431">
        <f t="shared" ca="1" si="73"/>
        <v>1694.92</v>
      </c>
      <c r="AN182" s="617">
        <f t="shared" ca="1" si="74"/>
        <v>1008.88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9</v>
      </c>
      <c r="G183">
        <f t="shared" ca="1" si="55"/>
        <v>0</v>
      </c>
      <c r="H183">
        <f t="shared" ca="1" si="56"/>
        <v>0</v>
      </c>
      <c r="I183">
        <f t="shared" ca="1" si="57"/>
        <v>5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(abra o arquivo 'Referência 05-2023.xls)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(abra o arquivo 'Referência 05-2023.xls)</v>
      </c>
      <c r="AG183" s="550">
        <f t="shared" ca="1" si="71"/>
        <v>0</v>
      </c>
      <c r="AH183" s="551">
        <f t="shared" ca="1" si="72"/>
        <v>0.24390000000000001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9</v>
      </c>
      <c r="G184">
        <f t="shared" ca="1" si="55"/>
        <v>0</v>
      </c>
      <c r="H184">
        <f t="shared" ca="1" si="56"/>
        <v>0</v>
      </c>
      <c r="I184">
        <f t="shared" ca="1" si="57"/>
        <v>5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(abra o arquivo 'Referência 05-2023.xls)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(abra o arquivo 'Referência 05-2023.xls)</v>
      </c>
      <c r="AG184" s="550">
        <f t="shared" ca="1" si="71"/>
        <v>0</v>
      </c>
      <c r="AH184" s="551">
        <f t="shared" ca="1" si="72"/>
        <v>0.24390000000000001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9</v>
      </c>
      <c r="G185">
        <f t="shared" ca="1" si="55"/>
        <v>0</v>
      </c>
      <c r="H185">
        <f t="shared" ca="1" si="56"/>
        <v>0</v>
      </c>
      <c r="I185">
        <f t="shared" ca="1" si="57"/>
        <v>5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ca="1">IF($C185="S",REFERENCIA.Descricao,"(digite a descrição aqui)")</f>
        <v>(abra o arquivo 'Referência 05-2023.xls)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(abra o arquivo 'Referência 05-2023.xls)</v>
      </c>
      <c r="AG185" s="550">
        <f t="shared" ca="1" si="71"/>
        <v>0</v>
      </c>
      <c r="AH185" s="551">
        <f t="shared" ca="1" si="72"/>
        <v>0.24390000000000001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9</v>
      </c>
      <c r="G186">
        <f t="shared" ca="1" si="55"/>
        <v>0</v>
      </c>
      <c r="H186">
        <f t="shared" ca="1" si="56"/>
        <v>0</v>
      </c>
      <c r="I186">
        <f t="shared" ca="1" si="57"/>
        <v>5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(abra o arquivo 'Referência 05-2023.xls)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(abra o arquivo 'Referência 05-2023.xls)</v>
      </c>
      <c r="AG186" s="550">
        <f t="shared" ca="1" si="71"/>
        <v>0</v>
      </c>
      <c r="AH186" s="551">
        <f t="shared" ca="1" si="72"/>
        <v>0.24390000000000001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9</v>
      </c>
      <c r="G187">
        <f t="shared" ca="1" si="55"/>
        <v>0</v>
      </c>
      <c r="H187">
        <f t="shared" ca="1" si="56"/>
        <v>0</v>
      </c>
      <c r="I187">
        <f t="shared" ca="1" si="57"/>
        <v>5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(abra o arquivo 'Referência 05-2023.xls)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(abra o arquivo 'Referência 05-2023.xls)</v>
      </c>
      <c r="AG187" s="550">
        <f t="shared" ca="1" si="71"/>
        <v>0</v>
      </c>
      <c r="AH187" s="551">
        <f t="shared" ca="1" si="72"/>
        <v>0.24390000000000001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9</v>
      </c>
      <c r="G188">
        <f t="shared" ca="1" si="55"/>
        <v>0</v>
      </c>
      <c r="H188">
        <f t="shared" ca="1" si="56"/>
        <v>0</v>
      </c>
      <c r="I188">
        <f t="shared" ca="1" si="57"/>
        <v>5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(abra o arquivo 'Referência 05-2023.xls)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(abra o arquivo 'Referência 05-2023.xls)</v>
      </c>
      <c r="AG188" s="550">
        <f t="shared" ca="1" si="71"/>
        <v>0</v>
      </c>
      <c r="AH188" s="551">
        <f t="shared" ca="1" si="72"/>
        <v>0.24390000000000001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9</v>
      </c>
      <c r="G189">
        <f t="shared" ca="1" si="55"/>
        <v>0</v>
      </c>
      <c r="H189">
        <f t="shared" ca="1" si="56"/>
        <v>0</v>
      </c>
      <c r="I189">
        <f t="shared" ca="1" si="57"/>
        <v>5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(abra o arquivo 'Referência 05-2023.xls)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(abra o arquivo 'Referência 05-2023.xls)</v>
      </c>
      <c r="AG189" s="550">
        <f t="shared" ca="1" si="71"/>
        <v>0</v>
      </c>
      <c r="AH189" s="551">
        <f t="shared" ca="1" si="72"/>
        <v>0.24390000000000001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9</v>
      </c>
      <c r="G190">
        <f t="shared" ca="1" si="55"/>
        <v>0</v>
      </c>
      <c r="H190">
        <f t="shared" ca="1" si="56"/>
        <v>0</v>
      </c>
      <c r="I190">
        <f t="shared" ca="1" si="57"/>
        <v>5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(abra o arquivo 'Referência 05-2023.xls)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(abra o arquivo 'Referência 05-2023.xls)</v>
      </c>
      <c r="AG190" s="550">
        <f t="shared" ca="1" si="71"/>
        <v>0</v>
      </c>
      <c r="AH190" s="551">
        <f t="shared" ca="1" si="72"/>
        <v>0.24390000000000001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9</v>
      </c>
      <c r="G191">
        <f t="shared" ca="1" si="55"/>
        <v>0</v>
      </c>
      <c r="H191">
        <f t="shared" ca="1" si="56"/>
        <v>0</v>
      </c>
      <c r="I191">
        <f t="shared" ca="1" si="57"/>
        <v>5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(abra o arquivo 'Referência 05-2023.xls)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(abra o arquivo 'Referência 05-2023.xls)</v>
      </c>
      <c r="AG191" s="550">
        <f t="shared" ca="1" si="71"/>
        <v>0</v>
      </c>
      <c r="AH191" s="551">
        <f t="shared" ca="1" si="72"/>
        <v>0.24390000000000001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9</v>
      </c>
      <c r="G192">
        <f t="shared" ca="1" si="55"/>
        <v>0</v>
      </c>
      <c r="H192">
        <f t="shared" ca="1" si="56"/>
        <v>0</v>
      </c>
      <c r="I192">
        <f t="shared" ca="1" si="57"/>
        <v>5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(abra o arquivo 'Referência 05-2023.xls)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(abra o arquivo 'Referência 05-2023.xls)</v>
      </c>
      <c r="AG192" s="550">
        <f t="shared" ca="1" si="71"/>
        <v>0</v>
      </c>
      <c r="AH192" s="551">
        <f t="shared" ca="1" si="72"/>
        <v>0.24390000000000001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9</v>
      </c>
      <c r="G193">
        <f t="shared" ca="1" si="55"/>
        <v>0</v>
      </c>
      <c r="H193">
        <f t="shared" ca="1" si="56"/>
        <v>0</v>
      </c>
      <c r="I193">
        <f t="shared" ca="1" si="57"/>
        <v>5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(abra o arquivo 'Referência 05-2023.xls)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(abra o arquivo 'Referência 05-2023.xls)</v>
      </c>
      <c r="AG193" s="550">
        <f t="shared" ca="1" si="71"/>
        <v>0</v>
      </c>
      <c r="AH193" s="551">
        <f t="shared" ca="1" si="72"/>
        <v>0.24390000000000001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x14ac:dyDescent="0.2">
      <c r="A194">
        <f t="shared" si="50"/>
        <v>2</v>
      </c>
      <c r="B194">
        <f t="shared" ca="1" si="51"/>
        <v>2</v>
      </c>
      <c r="C194">
        <f t="shared" ca="1" si="52"/>
        <v>2</v>
      </c>
      <c r="D194">
        <f t="shared" ca="1" si="53"/>
        <v>21</v>
      </c>
      <c r="E194">
        <f ca="1">IF($C194=1,OFFSET(E194,-1,0)+MAX(1,COUNTIF(QCI!$A$13:$A$24,OFFSET(ORÇAMENTO!E194,-1,0))),OFFSET(E194,-1,0))</f>
        <v>1</v>
      </c>
      <c r="F194">
        <f t="shared" ca="1" si="54"/>
        <v>10</v>
      </c>
      <c r="G194">
        <f t="shared" ca="1" si="55"/>
        <v>0</v>
      </c>
      <c r="H194">
        <f t="shared" ca="1" si="56"/>
        <v>0</v>
      </c>
      <c r="I194">
        <f t="shared" ca="1" si="57"/>
        <v>0</v>
      </c>
      <c r="J194">
        <f t="shared" ca="1" si="58"/>
        <v>72</v>
      </c>
      <c r="K194">
        <f ca="1">IF(OR($C194="S",$C194=0),0,MATCH(OFFSET($D194,0,$C194)+IF($C194&lt;&gt;1,1,COUNTIF(QCI!$A$13:$A$24,ORÇAMENTO!E194)),OFFSET($D194,1,$C194,ROW($C$266)-ROW($C194)),0))</f>
        <v>21</v>
      </c>
      <c r="L194" s="144" t="str">
        <f t="shared" ca="1" si="59"/>
        <v>F</v>
      </c>
      <c r="M194" s="145" t="s">
        <v>195</v>
      </c>
      <c r="N194" s="146" t="str">
        <f t="shared" ca="1" si="60"/>
        <v>Nível 2</v>
      </c>
      <c r="O194" s="147" t="str">
        <f t="shared" ca="1" si="61"/>
        <v>1.10.</v>
      </c>
      <c r="P194" s="148" t="s">
        <v>246</v>
      </c>
      <c r="Q194" s="149"/>
      <c r="R194" s="150" t="s">
        <v>490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22347.88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22347.879999999994</v>
      </c>
      <c r="AB194" s="158">
        <f t="shared" ca="1" si="67"/>
        <v>0</v>
      </c>
      <c r="AC194" s="159" t="str">
        <f t="shared" ca="1" si="68"/>
        <v/>
      </c>
      <c r="AD194" s="105">
        <f ca="1">IF(C194&lt;=CRONO.NivelExibicao,MAX($AD$15:OFFSET(AD194,-1,0))+IF($C194&lt;&gt;1,1,MAX(1,COUNTIF(QCI!$A$13:$A$24,OFFSET($E194,-1,0)))),"")</f>
        <v>11</v>
      </c>
      <c r="AE194" s="115" t="b">
        <f t="shared" ca="1" si="69"/>
        <v>0</v>
      </c>
      <c r="AF194" s="160" t="str">
        <f t="shared" ca="1" si="70"/>
        <v>(abra o arquivo 'Referência 05-2023.xls)</v>
      </c>
      <c r="AG194" s="550">
        <f t="shared" ca="1" si="71"/>
        <v>0</v>
      </c>
      <c r="AH194" s="551">
        <f t="shared" ca="1" si="72"/>
        <v>0.24390000000000001</v>
      </c>
      <c r="AJ194" s="553"/>
      <c r="AL194" s="574"/>
      <c r="AM194" s="431">
        <f t="shared" ca="1" si="73"/>
        <v>22347.88</v>
      </c>
      <c r="AN194" s="617">
        <f t="shared" ca="1" si="74"/>
        <v>0</v>
      </c>
    </row>
    <row r="195" spans="1:40" ht="38.25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10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>F</v>
      </c>
      <c r="M195" s="145" t="s">
        <v>198</v>
      </c>
      <c r="N195" s="146" t="str">
        <f t="shared" ca="1" si="60"/>
        <v>Serviço</v>
      </c>
      <c r="O195" s="147" t="str">
        <f t="shared" ca="1" si="61"/>
        <v>1.10.1.</v>
      </c>
      <c r="P195" s="148" t="s">
        <v>246</v>
      </c>
      <c r="Q195" s="149" t="s">
        <v>491</v>
      </c>
      <c r="R195" s="150" t="str">
        <f t="shared" ca="1" si="62"/>
        <v>(abra o arquivo 'Referência 05-2023.xls)</v>
      </c>
      <c r="S195" s="151" t="str">
        <f t="shared" ca="1" si="63"/>
        <v>-</v>
      </c>
      <c r="T195" s="152">
        <f ca="1">OFFSET(CÁLCULO!H$15,ROW($T195)-ROW(T$15),0)</f>
        <v>1</v>
      </c>
      <c r="U195" s="153">
        <v>4087.87</v>
      </c>
      <c r="V195" s="154" t="s">
        <v>155</v>
      </c>
      <c r="W195" s="152">
        <f t="shared" ca="1" si="64"/>
        <v>5084.8999999999996</v>
      </c>
      <c r="X195" s="155">
        <f t="shared" ca="1" si="65"/>
        <v>5084.8999999999996</v>
      </c>
      <c r="Y195" s="156" t="s">
        <v>244</v>
      </c>
      <c r="Z195" t="str">
        <f t="shared" ca="1" si="66"/>
        <v>RA</v>
      </c>
      <c r="AA195" s="157">
        <f ca="1">IF($C195="S",IF($Z195="CP",$X195,IF($Z195="RA",(($X195)*QCI!$AA$3),0)),SomaAgrup)</f>
        <v>5084.8999999999996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str">
        <f t="shared" ca="1" si="69"/>
        <v>SINAPI 98064</v>
      </c>
      <c r="AF195" s="160" t="str">
        <f t="shared" ca="1" si="70"/>
        <v>(abra o arquivo 'Referência 05-2023.xls)</v>
      </c>
      <c r="AG195" s="550">
        <f t="shared" ca="1" si="71"/>
        <v>0</v>
      </c>
      <c r="AH195" s="551">
        <f t="shared" ca="1" si="72"/>
        <v>0.24390000000000001</v>
      </c>
      <c r="AJ195" s="553">
        <v>1</v>
      </c>
      <c r="AL195" s="574"/>
      <c r="AM195" s="431">
        <f t="shared" ca="1" si="73"/>
        <v>5084.8999999999996</v>
      </c>
      <c r="AN195" s="617">
        <f t="shared" ca="1" si="74"/>
        <v>5084.8999999999996</v>
      </c>
    </row>
    <row r="196" spans="1:40" ht="38.25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10</v>
      </c>
      <c r="G196">
        <f t="shared" ca="1" si="55"/>
        <v>0</v>
      </c>
      <c r="H196">
        <f t="shared" ca="1" si="56"/>
        <v>0</v>
      </c>
      <c r="I196">
        <f t="shared" ca="1" si="57"/>
        <v>2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>F</v>
      </c>
      <c r="M196" s="145" t="s">
        <v>198</v>
      </c>
      <c r="N196" s="146" t="str">
        <f t="shared" ca="1" si="60"/>
        <v>Serviço</v>
      </c>
      <c r="O196" s="147" t="str">
        <f t="shared" ca="1" si="61"/>
        <v>1.10.2.</v>
      </c>
      <c r="P196" s="148" t="s">
        <v>246</v>
      </c>
      <c r="Q196" s="149" t="s">
        <v>492</v>
      </c>
      <c r="R196" s="150" t="str">
        <f t="shared" ca="1" si="62"/>
        <v>(abra o arquivo 'Referência 05-2023.xls)</v>
      </c>
      <c r="S196" s="151" t="str">
        <f t="shared" ca="1" si="63"/>
        <v>-</v>
      </c>
      <c r="T196" s="152">
        <f ca="1">OFFSET(CÁLCULO!H$15,ROW($T196)-ROW(T$15),0)</f>
        <v>1</v>
      </c>
      <c r="U196" s="153">
        <v>2184.2199999999998</v>
      </c>
      <c r="V196" s="154" t="s">
        <v>155</v>
      </c>
      <c r="W196" s="152">
        <f t="shared" ca="1" si="64"/>
        <v>2716.95</v>
      </c>
      <c r="X196" s="155">
        <f t="shared" ca="1" si="65"/>
        <v>2716.95</v>
      </c>
      <c r="Y196" s="156" t="s">
        <v>244</v>
      </c>
      <c r="Z196" t="str">
        <f t="shared" ca="1" si="66"/>
        <v>RA</v>
      </c>
      <c r="AA196" s="157">
        <f ca="1">IF($C196="S",IF($Z196="CP",$X196,IF($Z196="RA",(($X196)*QCI!$AA$3),0)),SomaAgrup)</f>
        <v>2716.95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str">
        <f t="shared" ca="1" si="69"/>
        <v>SINAPI 98053</v>
      </c>
      <c r="AF196" s="160" t="str">
        <f t="shared" ca="1" si="70"/>
        <v>(abra o arquivo 'Referência 05-2023.xls)</v>
      </c>
      <c r="AG196" s="550">
        <f t="shared" ca="1" si="71"/>
        <v>0</v>
      </c>
      <c r="AH196" s="551">
        <f t="shared" ca="1" si="72"/>
        <v>0.24390000000000001</v>
      </c>
      <c r="AJ196" s="553">
        <v>1</v>
      </c>
      <c r="AL196" s="574"/>
      <c r="AM196" s="431">
        <f t="shared" ca="1" si="73"/>
        <v>2716.95</v>
      </c>
      <c r="AN196" s="617">
        <f t="shared" ca="1" si="74"/>
        <v>2716.95</v>
      </c>
    </row>
    <row r="197" spans="1:40" ht="38.25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10</v>
      </c>
      <c r="G197">
        <f t="shared" ca="1" si="55"/>
        <v>0</v>
      </c>
      <c r="H197">
        <f t="shared" ca="1" si="56"/>
        <v>0</v>
      </c>
      <c r="I197">
        <f t="shared" ca="1" si="57"/>
        <v>3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>F</v>
      </c>
      <c r="M197" s="145" t="s">
        <v>198</v>
      </c>
      <c r="N197" s="146" t="str">
        <f t="shared" ca="1" si="60"/>
        <v>Serviço</v>
      </c>
      <c r="O197" s="147" t="str">
        <f t="shared" ca="1" si="61"/>
        <v>1.10.3.</v>
      </c>
      <c r="P197" s="148" t="s">
        <v>246</v>
      </c>
      <c r="Q197" s="149" t="s">
        <v>493</v>
      </c>
      <c r="R197" s="150" t="str">
        <f t="shared" ca="1" si="62"/>
        <v>(abra o arquivo 'Referência 05-2023.xls)</v>
      </c>
      <c r="S197" s="151" t="str">
        <f t="shared" ca="1" si="63"/>
        <v>-</v>
      </c>
      <c r="T197" s="152">
        <f ca="1">OFFSET(CÁLCULO!H$15,ROW($T197)-ROW(T$15),0)</f>
        <v>1</v>
      </c>
      <c r="U197" s="153">
        <v>2976.04</v>
      </c>
      <c r="V197" s="154" t="s">
        <v>155</v>
      </c>
      <c r="W197" s="152">
        <f t="shared" ca="1" si="64"/>
        <v>3701.9</v>
      </c>
      <c r="X197" s="155">
        <f t="shared" ca="1" si="65"/>
        <v>3701.9</v>
      </c>
      <c r="Y197" s="156" t="s">
        <v>244</v>
      </c>
      <c r="Z197" t="str">
        <f t="shared" ca="1" si="66"/>
        <v>RA</v>
      </c>
      <c r="AA197" s="157">
        <f ca="1">IF($C197="S",IF($Z197="CP",$X197,IF($Z197="RA",(($X197)*QCI!$AA$3),0)),SomaAgrup)</f>
        <v>3701.9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str">
        <f t="shared" ca="1" si="69"/>
        <v>SINAPI 98059</v>
      </c>
      <c r="AF197" s="160" t="str">
        <f t="shared" ca="1" si="70"/>
        <v>(abra o arquivo 'Referência 05-2023.xls)</v>
      </c>
      <c r="AG197" s="550">
        <f t="shared" ca="1" si="71"/>
        <v>0</v>
      </c>
      <c r="AH197" s="551">
        <f t="shared" ca="1" si="72"/>
        <v>0.24390000000000001</v>
      </c>
      <c r="AJ197" s="553">
        <v>1</v>
      </c>
      <c r="AL197" s="574"/>
      <c r="AM197" s="431">
        <f t="shared" ca="1" si="73"/>
        <v>3701.9</v>
      </c>
      <c r="AN197" s="617">
        <f t="shared" ca="1" si="74"/>
        <v>3701.9</v>
      </c>
    </row>
    <row r="198" spans="1:40" ht="63.75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10</v>
      </c>
      <c r="G198">
        <f t="shared" ca="1" si="55"/>
        <v>0</v>
      </c>
      <c r="H198">
        <f t="shared" ca="1" si="56"/>
        <v>0</v>
      </c>
      <c r="I198">
        <f t="shared" ca="1" si="57"/>
        <v>4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>F</v>
      </c>
      <c r="M198" s="145" t="s">
        <v>198</v>
      </c>
      <c r="N198" s="146" t="str">
        <f t="shared" ca="1" si="60"/>
        <v>Serviço</v>
      </c>
      <c r="O198" s="147" t="str">
        <f t="shared" ca="1" si="61"/>
        <v>1.10.4.</v>
      </c>
      <c r="P198" s="148" t="s">
        <v>246</v>
      </c>
      <c r="Q198" s="149" t="s">
        <v>510</v>
      </c>
      <c r="R198" s="150" t="str">
        <f t="shared" ca="1" si="62"/>
        <v>(abra o arquivo 'Referência 05-2023.xls)</v>
      </c>
      <c r="S198" s="151" t="str">
        <f t="shared" ca="1" si="63"/>
        <v>-</v>
      </c>
      <c r="T198" s="152">
        <f ca="1">OFFSET(CÁLCULO!H$15,ROW($T198)-ROW(T$15),0)</f>
        <v>20</v>
      </c>
      <c r="U198" s="153">
        <v>105.19</v>
      </c>
      <c r="V198" s="154" t="s">
        <v>155</v>
      </c>
      <c r="W198" s="152">
        <f t="shared" ca="1" si="64"/>
        <v>130.85</v>
      </c>
      <c r="X198" s="155">
        <f t="shared" ca="1" si="65"/>
        <v>2617</v>
      </c>
      <c r="Y198" s="156" t="s">
        <v>244</v>
      </c>
      <c r="Z198" t="str">
        <f t="shared" ca="1" si="66"/>
        <v>RA</v>
      </c>
      <c r="AA198" s="157">
        <f ca="1">IF($C198="S",IF($Z198="CP",$X198,IF($Z198="RA",(($X198)*QCI!$AA$3),0)),SomaAgrup)</f>
        <v>2617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str">
        <f t="shared" ca="1" si="69"/>
        <v>SINAPI 91793</v>
      </c>
      <c r="AF198" s="160" t="str">
        <f t="shared" ca="1" si="70"/>
        <v>(abra o arquivo 'Referência 05-2023.xls)</v>
      </c>
      <c r="AG198" s="550">
        <f t="shared" ca="1" si="71"/>
        <v>0</v>
      </c>
      <c r="AH198" s="551">
        <f t="shared" ca="1" si="72"/>
        <v>0.24390000000000001</v>
      </c>
      <c r="AJ198" s="553">
        <v>20</v>
      </c>
      <c r="AL198" s="574"/>
      <c r="AM198" s="431">
        <f t="shared" ca="1" si="73"/>
        <v>2617</v>
      </c>
      <c r="AN198" s="617">
        <f t="shared" ca="1" si="74"/>
        <v>130.85</v>
      </c>
    </row>
    <row r="199" spans="1:40" ht="63.75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10</v>
      </c>
      <c r="G199">
        <f t="shared" ca="1" si="55"/>
        <v>0</v>
      </c>
      <c r="H199">
        <f t="shared" ca="1" si="56"/>
        <v>0</v>
      </c>
      <c r="I199">
        <f t="shared" ca="1" si="57"/>
        <v>5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>F</v>
      </c>
      <c r="M199" s="145" t="s">
        <v>198</v>
      </c>
      <c r="N199" s="146" t="str">
        <f t="shared" ca="1" si="60"/>
        <v>Serviço</v>
      </c>
      <c r="O199" s="147" t="str">
        <f t="shared" ca="1" si="61"/>
        <v>1.10.5.</v>
      </c>
      <c r="P199" s="148" t="s">
        <v>246</v>
      </c>
      <c r="Q199" s="149" t="s">
        <v>509</v>
      </c>
      <c r="R199" s="150" t="str">
        <f t="shared" ca="1" si="62"/>
        <v>(abra o arquivo 'Referência 05-2023.xls)</v>
      </c>
      <c r="S199" s="151" t="str">
        <f t="shared" ca="1" si="63"/>
        <v>-</v>
      </c>
      <c r="T199" s="152">
        <f ca="1">OFFSET(CÁLCULO!H$15,ROW($T199)-ROW(T$15),0)</f>
        <v>35</v>
      </c>
      <c r="U199" s="153">
        <v>76.7</v>
      </c>
      <c r="V199" s="154" t="s">
        <v>155</v>
      </c>
      <c r="W199" s="152">
        <f t="shared" ca="1" si="64"/>
        <v>95.41</v>
      </c>
      <c r="X199" s="155">
        <f t="shared" ca="1" si="65"/>
        <v>3339.35</v>
      </c>
      <c r="Y199" s="156" t="s">
        <v>244</v>
      </c>
      <c r="Z199" t="str">
        <f t="shared" ca="1" si="66"/>
        <v>RA</v>
      </c>
      <c r="AA199" s="157">
        <f ca="1">IF($C199="S",IF($Z199="CP",$X199,IF($Z199="RA",(($X199)*QCI!$AA$3),0)),SomaAgrup)</f>
        <v>3339.35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str">
        <f t="shared" ca="1" si="69"/>
        <v>SINAPI 91795</v>
      </c>
      <c r="AF199" s="160" t="str">
        <f t="shared" ca="1" si="70"/>
        <v>(abra o arquivo 'Referência 05-2023.xls)</v>
      </c>
      <c r="AG199" s="550">
        <f t="shared" ca="1" si="71"/>
        <v>0</v>
      </c>
      <c r="AH199" s="551">
        <f t="shared" ca="1" si="72"/>
        <v>0.24390000000000001</v>
      </c>
      <c r="AJ199" s="553">
        <v>35</v>
      </c>
      <c r="AL199" s="574"/>
      <c r="AM199" s="431">
        <f t="shared" ca="1" si="73"/>
        <v>3339.35</v>
      </c>
      <c r="AN199" s="617">
        <f t="shared" ca="1" si="74"/>
        <v>95.41</v>
      </c>
    </row>
    <row r="200" spans="1:40" ht="38.25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10</v>
      </c>
      <c r="G200">
        <f t="shared" ca="1" si="55"/>
        <v>0</v>
      </c>
      <c r="H200">
        <f t="shared" ca="1" si="56"/>
        <v>0</v>
      </c>
      <c r="I200">
        <f t="shared" ca="1" si="57"/>
        <v>6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>F</v>
      </c>
      <c r="M200" s="145" t="s">
        <v>198</v>
      </c>
      <c r="N200" s="146" t="str">
        <f t="shared" ca="1" si="60"/>
        <v>Serviço</v>
      </c>
      <c r="O200" s="147" t="str">
        <f t="shared" ca="1" si="61"/>
        <v>1.10.6.</v>
      </c>
      <c r="P200" s="148" t="s">
        <v>246</v>
      </c>
      <c r="Q200" s="149" t="s">
        <v>495</v>
      </c>
      <c r="R200" s="150" t="str">
        <f t="shared" ca="1" si="62"/>
        <v>(abra o arquivo 'Referência 05-2023.xls)</v>
      </c>
      <c r="S200" s="151" t="str">
        <f t="shared" ca="1" si="63"/>
        <v>-</v>
      </c>
      <c r="T200" s="152">
        <f ca="1">OFFSET(CÁLCULO!H$15,ROW($T200)-ROW(T$15),0)</f>
        <v>2</v>
      </c>
      <c r="U200" s="153">
        <v>258</v>
      </c>
      <c r="V200" s="154" t="s">
        <v>155</v>
      </c>
      <c r="W200" s="152">
        <f t="shared" ca="1" si="64"/>
        <v>320.93</v>
      </c>
      <c r="X200" s="155">
        <f t="shared" ca="1" si="65"/>
        <v>641.86</v>
      </c>
      <c r="Y200" s="156" t="s">
        <v>244</v>
      </c>
      <c r="Z200" t="str">
        <f t="shared" ca="1" si="66"/>
        <v>RA</v>
      </c>
      <c r="AA200" s="157">
        <f ca="1">IF($C200="S",IF($Z200="CP",$X200,IF($Z200="RA",(($X200)*QCI!$AA$3),0)),SomaAgrup)</f>
        <v>641.86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str">
        <f t="shared" ca="1" si="69"/>
        <v>SINAPI 103001</v>
      </c>
      <c r="AF200" s="160" t="str">
        <f t="shared" ca="1" si="70"/>
        <v>(abra o arquivo 'Referência 05-2023.xls)</v>
      </c>
      <c r="AG200" s="550">
        <f t="shared" ca="1" si="71"/>
        <v>0</v>
      </c>
      <c r="AH200" s="551">
        <f t="shared" ca="1" si="72"/>
        <v>0.24390000000000001</v>
      </c>
      <c r="AJ200" s="553">
        <v>2</v>
      </c>
      <c r="AL200" s="574"/>
      <c r="AM200" s="431">
        <f t="shared" ca="1" si="73"/>
        <v>641.86</v>
      </c>
      <c r="AN200" s="617">
        <f t="shared" ca="1" si="74"/>
        <v>320.93</v>
      </c>
    </row>
    <row r="201" spans="1:40" ht="38.25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10</v>
      </c>
      <c r="G201">
        <f t="shared" ca="1" si="55"/>
        <v>0</v>
      </c>
      <c r="H201">
        <f t="shared" ca="1" si="56"/>
        <v>0</v>
      </c>
      <c r="I201">
        <f t="shared" ca="1" si="57"/>
        <v>7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>F</v>
      </c>
      <c r="M201" s="145" t="s">
        <v>198</v>
      </c>
      <c r="N201" s="146" t="str">
        <f t="shared" ca="1" si="60"/>
        <v>Serviço</v>
      </c>
      <c r="O201" s="147" t="str">
        <f t="shared" ca="1" si="61"/>
        <v>1.10.7.</v>
      </c>
      <c r="P201" s="148" t="s">
        <v>246</v>
      </c>
      <c r="Q201" s="149" t="s">
        <v>507</v>
      </c>
      <c r="R201" s="150" t="str">
        <f t="shared" ca="1" si="62"/>
        <v>(abra o arquivo 'Referência 05-2023.xls)</v>
      </c>
      <c r="S201" s="151" t="str">
        <f t="shared" ca="1" si="63"/>
        <v>-</v>
      </c>
      <c r="T201" s="152">
        <f ca="1">OFFSET(CÁLCULO!H$15,ROW($T201)-ROW(T$15),0)</f>
        <v>1</v>
      </c>
      <c r="U201" s="153">
        <v>284.81</v>
      </c>
      <c r="V201" s="154" t="s">
        <v>155</v>
      </c>
      <c r="W201" s="152">
        <f t="shared" ca="1" si="64"/>
        <v>354.28</v>
      </c>
      <c r="X201" s="155">
        <f t="shared" ca="1" si="65"/>
        <v>354.28</v>
      </c>
      <c r="Y201" s="156" t="s">
        <v>244</v>
      </c>
      <c r="Z201" t="str">
        <f t="shared" ca="1" si="66"/>
        <v>RA</v>
      </c>
      <c r="AA201" s="157">
        <f ca="1">IF($C201="S",IF($Z201="CP",$X201,IF($Z201="RA",(($X201)*QCI!$AA$3),0)),SomaAgrup)</f>
        <v>354.28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str">
        <f t="shared" ca="1" si="69"/>
        <v>SINAPI 98107</v>
      </c>
      <c r="AF201" s="160" t="str">
        <f t="shared" ca="1" si="70"/>
        <v>(abra o arquivo 'Referência 05-2023.xls)</v>
      </c>
      <c r="AG201" s="550">
        <f t="shared" ca="1" si="71"/>
        <v>0</v>
      </c>
      <c r="AH201" s="551">
        <f t="shared" ca="1" si="72"/>
        <v>0.24390000000000001</v>
      </c>
      <c r="AJ201" s="553">
        <v>1</v>
      </c>
      <c r="AL201" s="574"/>
      <c r="AM201" s="431">
        <f t="shared" ca="1" si="73"/>
        <v>354.28</v>
      </c>
      <c r="AN201" s="617">
        <f t="shared" ca="1" si="74"/>
        <v>354.28</v>
      </c>
    </row>
    <row r="202" spans="1:40" ht="38.25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10</v>
      </c>
      <c r="G202">
        <f t="shared" ca="1" si="55"/>
        <v>0</v>
      </c>
      <c r="H202">
        <f t="shared" ca="1" si="56"/>
        <v>0</v>
      </c>
      <c r="I202">
        <f t="shared" ca="1" si="57"/>
        <v>8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>F</v>
      </c>
      <c r="M202" s="145" t="s">
        <v>198</v>
      </c>
      <c r="N202" s="146" t="str">
        <f t="shared" ca="1" si="60"/>
        <v>Serviço</v>
      </c>
      <c r="O202" s="147" t="str">
        <f t="shared" ca="1" si="61"/>
        <v>1.10.8.</v>
      </c>
      <c r="P202" s="148" t="s">
        <v>246</v>
      </c>
      <c r="Q202" s="149" t="s">
        <v>508</v>
      </c>
      <c r="R202" s="150" t="str">
        <f t="shared" ca="1" si="62"/>
        <v>(abra o arquivo 'Referência 05-2023.xls)</v>
      </c>
      <c r="S202" s="151" t="str">
        <f t="shared" ca="1" si="63"/>
        <v>-</v>
      </c>
      <c r="T202" s="152">
        <f ca="1">OFFSET(CÁLCULO!H$15,ROW($T202)-ROW(T$15),0)</f>
        <v>3</v>
      </c>
      <c r="U202" s="153">
        <v>251.76</v>
      </c>
      <c r="V202" s="154" t="s">
        <v>155</v>
      </c>
      <c r="W202" s="152">
        <f t="shared" ca="1" si="64"/>
        <v>313.16000000000003</v>
      </c>
      <c r="X202" s="155">
        <f t="shared" ca="1" si="65"/>
        <v>939.48</v>
      </c>
      <c r="Y202" s="156" t="s">
        <v>244</v>
      </c>
      <c r="Z202" t="str">
        <f t="shared" ca="1" si="66"/>
        <v>RA</v>
      </c>
      <c r="AA202" s="157">
        <f ca="1">IF($C202="S",IF($Z202="CP",$X202,IF($Z202="RA",(($X202)*QCI!$AA$3),0)),SomaAgrup)</f>
        <v>939.48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str">
        <f t="shared" ca="1" si="69"/>
        <v>SINAPI 97905</v>
      </c>
      <c r="AF202" s="160" t="str">
        <f t="shared" ca="1" si="70"/>
        <v>(abra o arquivo 'Referência 05-2023.xls)</v>
      </c>
      <c r="AG202" s="550">
        <f t="shared" ca="1" si="71"/>
        <v>0</v>
      </c>
      <c r="AH202" s="551">
        <f t="shared" ca="1" si="72"/>
        <v>0.24390000000000001</v>
      </c>
      <c r="AJ202" s="553">
        <v>3</v>
      </c>
      <c r="AL202" s="574"/>
      <c r="AM202" s="431">
        <f t="shared" ca="1" si="73"/>
        <v>939.48</v>
      </c>
      <c r="AN202" s="617">
        <f t="shared" ca="1" si="74"/>
        <v>313.16000000000003</v>
      </c>
    </row>
    <row r="203" spans="1:40" ht="25.5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10</v>
      </c>
      <c r="G203">
        <f t="shared" ca="1" si="55"/>
        <v>0</v>
      </c>
      <c r="H203">
        <f t="shared" ca="1" si="56"/>
        <v>0</v>
      </c>
      <c r="I203">
        <f t="shared" ca="1" si="57"/>
        <v>9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>F</v>
      </c>
      <c r="M203" s="145" t="s">
        <v>198</v>
      </c>
      <c r="N203" s="146" t="str">
        <f t="shared" ca="1" si="60"/>
        <v>Serviço</v>
      </c>
      <c r="O203" s="147" t="str">
        <f t="shared" ca="1" si="61"/>
        <v>1.10.9.</v>
      </c>
      <c r="P203" s="148" t="s">
        <v>450</v>
      </c>
      <c r="Q203" s="149" t="s">
        <v>531</v>
      </c>
      <c r="R203" s="150" t="str">
        <f t="shared" ca="1" si="62"/>
        <v>(abra o arquivo 'Referência 05-2023.xls)</v>
      </c>
      <c r="S203" s="151" t="str">
        <f t="shared" ca="1" si="63"/>
        <v>-</v>
      </c>
      <c r="T203" s="152">
        <f ca="1">OFFSET(CÁLCULO!H$15,ROW($T203)-ROW(T$15),0)</f>
        <v>2</v>
      </c>
      <c r="U203" s="153">
        <v>46.74</v>
      </c>
      <c r="V203" s="154" t="s">
        <v>155</v>
      </c>
      <c r="W203" s="152">
        <f t="shared" ca="1" si="64"/>
        <v>58.14</v>
      </c>
      <c r="X203" s="155">
        <f t="shared" ca="1" si="65"/>
        <v>116.28</v>
      </c>
      <c r="Y203" s="156" t="s">
        <v>244</v>
      </c>
      <c r="Z203" t="str">
        <f t="shared" ca="1" si="66"/>
        <v>RA</v>
      </c>
      <c r="AA203" s="157">
        <f ca="1">IF($C203="S",IF($Z203="CP",$X203,IF($Z203="RA",(($X203)*QCI!$AA$3),0)),SomaAgrup)</f>
        <v>116.28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str">
        <f t="shared" ca="1" si="69"/>
        <v>SINAPI-I 37401</v>
      </c>
      <c r="AF203" s="160" t="str">
        <f t="shared" ca="1" si="70"/>
        <v>(abra o arquivo 'Referência 05-2023.xls)</v>
      </c>
      <c r="AG203" s="550">
        <f t="shared" ca="1" si="71"/>
        <v>0</v>
      </c>
      <c r="AH203" s="551">
        <f t="shared" ca="1" si="72"/>
        <v>0.24390000000000001</v>
      </c>
      <c r="AJ203" s="553">
        <v>2</v>
      </c>
      <c r="AL203" s="574"/>
      <c r="AM203" s="431">
        <f t="shared" ca="1" si="73"/>
        <v>116.28</v>
      </c>
      <c r="AN203" s="617">
        <f t="shared" ca="1" si="74"/>
        <v>58.14</v>
      </c>
    </row>
    <row r="204" spans="1:40" ht="25.5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10</v>
      </c>
      <c r="G204">
        <f t="shared" ca="1" si="55"/>
        <v>0</v>
      </c>
      <c r="H204">
        <f t="shared" ca="1" si="56"/>
        <v>0</v>
      </c>
      <c r="I204">
        <f t="shared" ca="1" si="57"/>
        <v>10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>F</v>
      </c>
      <c r="M204" s="145" t="s">
        <v>198</v>
      </c>
      <c r="N204" s="146" t="str">
        <f t="shared" ca="1" si="60"/>
        <v>Serviço</v>
      </c>
      <c r="O204" s="147" t="str">
        <f t="shared" ca="1" si="61"/>
        <v>1.10.10.</v>
      </c>
      <c r="P204" s="148" t="s">
        <v>246</v>
      </c>
      <c r="Q204" s="149" t="s">
        <v>532</v>
      </c>
      <c r="R204" s="150" t="str">
        <f t="shared" ca="1" si="62"/>
        <v>(abra o arquivo 'Referência 05-2023.xls)</v>
      </c>
      <c r="S204" s="151" t="str">
        <f t="shared" ca="1" si="63"/>
        <v>-</v>
      </c>
      <c r="T204" s="152">
        <f ca="1">OFFSET(CÁLCULO!H$15,ROW($T204)-ROW(T$15),0)</f>
        <v>2</v>
      </c>
      <c r="U204" s="153">
        <v>57.45</v>
      </c>
      <c r="V204" s="154" t="s">
        <v>155</v>
      </c>
      <c r="W204" s="152">
        <f t="shared" ca="1" si="64"/>
        <v>71.459999999999994</v>
      </c>
      <c r="X204" s="155">
        <f t="shared" ca="1" si="65"/>
        <v>142.91999999999999</v>
      </c>
      <c r="Y204" s="156" t="s">
        <v>244</v>
      </c>
      <c r="Z204" t="str">
        <f t="shared" ca="1" si="66"/>
        <v>RA</v>
      </c>
      <c r="AA204" s="157">
        <f ca="1">IF($C204="S",IF($Z204="CP",$X204,IF($Z204="RA",(($X204)*QCI!$AA$3),0)),SomaAgrup)</f>
        <v>142.91999999999999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str">
        <f t="shared" ca="1" si="69"/>
        <v>SINAPI 95547</v>
      </c>
      <c r="AF204" s="160" t="str">
        <f t="shared" ca="1" si="70"/>
        <v>(abra o arquivo 'Referência 05-2023.xls)</v>
      </c>
      <c r="AG204" s="550">
        <f t="shared" ca="1" si="71"/>
        <v>0</v>
      </c>
      <c r="AH204" s="551">
        <f t="shared" ca="1" si="72"/>
        <v>0.24390000000000001</v>
      </c>
      <c r="AJ204" s="553">
        <v>2</v>
      </c>
      <c r="AL204" s="574"/>
      <c r="AM204" s="431">
        <f t="shared" ca="1" si="73"/>
        <v>142.91999999999999</v>
      </c>
      <c r="AN204" s="617">
        <f t="shared" ca="1" si="74"/>
        <v>71.459999999999994</v>
      </c>
    </row>
    <row r="205" spans="1:40" ht="25.5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10</v>
      </c>
      <c r="G205">
        <f t="shared" ca="1" si="55"/>
        <v>0</v>
      </c>
      <c r="H205">
        <f t="shared" ca="1" si="56"/>
        <v>0</v>
      </c>
      <c r="I205">
        <f t="shared" ca="1" si="57"/>
        <v>11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>F</v>
      </c>
      <c r="M205" s="145" t="s">
        <v>198</v>
      </c>
      <c r="N205" s="146" t="str">
        <f t="shared" ca="1" si="60"/>
        <v>Serviço</v>
      </c>
      <c r="O205" s="147" t="str">
        <f t="shared" ca="1" si="61"/>
        <v>1.10.11.</v>
      </c>
      <c r="P205" s="148" t="s">
        <v>246</v>
      </c>
      <c r="Q205" s="149" t="s">
        <v>533</v>
      </c>
      <c r="R205" s="150" t="str">
        <f t="shared" ca="1" si="62"/>
        <v>(abra o arquivo 'Referência 05-2023.xls)</v>
      </c>
      <c r="S205" s="151" t="str">
        <f t="shared" ca="1" si="63"/>
        <v>-</v>
      </c>
      <c r="T205" s="152">
        <f ca="1">OFFSET(CÁLCULO!H$15,ROW($T205)-ROW(T$15),0)</f>
        <v>2</v>
      </c>
      <c r="U205" s="153">
        <v>88.36</v>
      </c>
      <c r="V205" s="154" t="s">
        <v>155</v>
      </c>
      <c r="W205" s="152">
        <f t="shared" ca="1" si="64"/>
        <v>109.91</v>
      </c>
      <c r="X205" s="155">
        <f t="shared" ca="1" si="65"/>
        <v>219.82</v>
      </c>
      <c r="Y205" s="156" t="s">
        <v>244</v>
      </c>
      <c r="Z205" t="str">
        <f t="shared" ca="1" si="66"/>
        <v>RA</v>
      </c>
      <c r="AA205" s="157">
        <f ca="1">IF($C205="S",IF($Z205="CP",$X205,IF($Z205="RA",(($X205)*QCI!$AA$3),0)),SomaAgrup)</f>
        <v>219.82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str">
        <f t="shared" ca="1" si="69"/>
        <v>SINAPI 95544</v>
      </c>
      <c r="AF205" s="160" t="str">
        <f t="shared" ca="1" si="70"/>
        <v>(abra o arquivo 'Referência 05-2023.xls)</v>
      </c>
      <c r="AG205" s="550">
        <f t="shared" ca="1" si="71"/>
        <v>0</v>
      </c>
      <c r="AH205" s="551">
        <f t="shared" ca="1" si="72"/>
        <v>0.24390000000000001</v>
      </c>
      <c r="AJ205" s="553">
        <v>2</v>
      </c>
      <c r="AL205" s="574"/>
      <c r="AM205" s="431">
        <f t="shared" ca="1" si="73"/>
        <v>219.82</v>
      </c>
      <c r="AN205" s="617">
        <f t="shared" ca="1" si="74"/>
        <v>109.91</v>
      </c>
    </row>
    <row r="206" spans="1:40" ht="38.25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10</v>
      </c>
      <c r="G206">
        <f t="shared" ca="1" si="55"/>
        <v>0</v>
      </c>
      <c r="H206">
        <f t="shared" ca="1" si="56"/>
        <v>0</v>
      </c>
      <c r="I206">
        <f t="shared" ca="1" si="57"/>
        <v>12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>F</v>
      </c>
      <c r="M206" s="145" t="s">
        <v>198</v>
      </c>
      <c r="N206" s="146" t="str">
        <f t="shared" ca="1" si="60"/>
        <v>Serviço</v>
      </c>
      <c r="O206" s="147" t="str">
        <f t="shared" ca="1" si="61"/>
        <v>1.10.12.</v>
      </c>
      <c r="P206" s="148" t="s">
        <v>246</v>
      </c>
      <c r="Q206" s="149" t="s">
        <v>484</v>
      </c>
      <c r="R206" s="150" t="str">
        <f t="shared" ca="1" si="62"/>
        <v>(abra o arquivo 'Referência 05-2023.xls)</v>
      </c>
      <c r="S206" s="151" t="str">
        <f t="shared" ca="1" si="63"/>
        <v>-</v>
      </c>
      <c r="T206" s="152">
        <f ca="1">OFFSET(CÁLCULO!H$15,ROW($T206)-ROW(T$15),0)</f>
        <v>3</v>
      </c>
      <c r="U206" s="153">
        <v>636.74</v>
      </c>
      <c r="V206" s="154" t="s">
        <v>155</v>
      </c>
      <c r="W206" s="152">
        <f t="shared" ca="1" si="64"/>
        <v>792.04</v>
      </c>
      <c r="X206" s="155">
        <f t="shared" ca="1" si="65"/>
        <v>2376.12</v>
      </c>
      <c r="Y206" s="156" t="s">
        <v>244</v>
      </c>
      <c r="Z206" t="str">
        <f t="shared" ca="1" si="66"/>
        <v>RA</v>
      </c>
      <c r="AA206" s="157">
        <f ca="1">IF($C206="S",IF($Z206="CP",$X206,IF($Z206="RA",(($X206)*QCI!$AA$3),0)),SomaAgrup)</f>
        <v>2376.12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str">
        <f t="shared" ca="1" si="69"/>
        <v>SINAPI 86932</v>
      </c>
      <c r="AF206" s="160" t="str">
        <f t="shared" ca="1" si="70"/>
        <v>(abra o arquivo 'Referência 05-2023.xls)</v>
      </c>
      <c r="AG206" s="550">
        <f t="shared" ca="1" si="71"/>
        <v>0</v>
      </c>
      <c r="AH206" s="551">
        <f t="shared" ca="1" si="72"/>
        <v>0.24390000000000001</v>
      </c>
      <c r="AJ206" s="553">
        <v>3</v>
      </c>
      <c r="AL206" s="574"/>
      <c r="AM206" s="431">
        <f t="shared" ca="1" si="73"/>
        <v>2376.12</v>
      </c>
      <c r="AN206" s="617">
        <f t="shared" ca="1" si="74"/>
        <v>792.04</v>
      </c>
    </row>
    <row r="207" spans="1:40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10</v>
      </c>
      <c r="G207">
        <f t="shared" ca="1" si="55"/>
        <v>0</v>
      </c>
      <c r="H207">
        <f t="shared" ca="1" si="56"/>
        <v>0</v>
      </c>
      <c r="I207">
        <f t="shared" ca="1" si="57"/>
        <v>13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>F</v>
      </c>
      <c r="M207" s="145" t="s">
        <v>198</v>
      </c>
      <c r="N207" s="146" t="str">
        <f t="shared" ca="1" si="60"/>
        <v>Serviço</v>
      </c>
      <c r="O207" s="147" t="str">
        <f t="shared" ca="1" si="61"/>
        <v>1.10.13.</v>
      </c>
      <c r="P207" s="148" t="s">
        <v>450</v>
      </c>
      <c r="Q207" s="149" t="s">
        <v>534</v>
      </c>
      <c r="R207" s="150" t="str">
        <f t="shared" ca="1" si="62"/>
        <v>(abra o arquivo 'Referência 05-2023.xls)</v>
      </c>
      <c r="S207" s="151" t="str">
        <f t="shared" ca="1" si="63"/>
        <v>-</v>
      </c>
      <c r="T207" s="152">
        <f ca="1">OFFSET(CÁLCULO!H$15,ROW($T207)-ROW(T$15),0)</f>
        <v>2</v>
      </c>
      <c r="U207" s="153">
        <v>39</v>
      </c>
      <c r="V207" s="154" t="s">
        <v>155</v>
      </c>
      <c r="W207" s="152">
        <f t="shared" ca="1" si="64"/>
        <v>48.51</v>
      </c>
      <c r="X207" s="155">
        <f t="shared" ca="1" si="65"/>
        <v>97.02</v>
      </c>
      <c r="Y207" s="156" t="s">
        <v>244</v>
      </c>
      <c r="Z207" t="str">
        <f t="shared" ca="1" si="66"/>
        <v>RA</v>
      </c>
      <c r="AA207" s="157">
        <f ca="1">IF($C207="S",IF($Z207="CP",$X207,IF($Z207="RA",(($X207)*QCI!$AA$3),0)),SomaAgrup)</f>
        <v>97.02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str">
        <f t="shared" ca="1" si="69"/>
        <v>SINAPI-I 377</v>
      </c>
      <c r="AF207" s="160" t="str">
        <f t="shared" ca="1" si="70"/>
        <v>(abra o arquivo 'Referência 05-2023.xls)</v>
      </c>
      <c r="AG207" s="550">
        <f t="shared" ca="1" si="71"/>
        <v>0</v>
      </c>
      <c r="AH207" s="551">
        <f t="shared" ca="1" si="72"/>
        <v>0.24390000000000001</v>
      </c>
      <c r="AJ207" s="553">
        <v>2</v>
      </c>
      <c r="AL207" s="574"/>
      <c r="AM207" s="431">
        <f t="shared" ca="1" si="73"/>
        <v>97.02</v>
      </c>
      <c r="AN207" s="617">
        <f t="shared" ca="1" si="74"/>
        <v>48.51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10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13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(abra o arquivo 'Referência 05-2023.xls)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(abra o arquivo 'Referência 05-2023.xls)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0.24390000000000001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10</v>
      </c>
      <c r="G209">
        <f t="shared" ca="1" si="80"/>
        <v>0</v>
      </c>
      <c r="H209">
        <f t="shared" ca="1" si="81"/>
        <v>0</v>
      </c>
      <c r="I209">
        <f t="shared" ca="1" si="82"/>
        <v>13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(abra o arquivo 'Referência 05-2023.xls)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(abra o arquivo 'Referência 05-2023.xls)</v>
      </c>
      <c r="AG209" s="550">
        <f t="shared" ca="1" si="96"/>
        <v>0</v>
      </c>
      <c r="AH209" s="551">
        <f t="shared" ca="1" si="97"/>
        <v>0.24390000000000001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10</v>
      </c>
      <c r="G210">
        <f t="shared" ca="1" si="80"/>
        <v>0</v>
      </c>
      <c r="H210">
        <f t="shared" ca="1" si="81"/>
        <v>0</v>
      </c>
      <c r="I210">
        <f t="shared" ca="1" si="82"/>
        <v>13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(abra o arquivo 'Referência 05-2023.xls)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(abra o arquivo 'Referência 05-2023.xls)</v>
      </c>
      <c r="AG210" s="550">
        <f t="shared" ca="1" si="96"/>
        <v>0</v>
      </c>
      <c r="AH210" s="551">
        <f t="shared" ca="1" si="97"/>
        <v>0.24390000000000001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10</v>
      </c>
      <c r="G211">
        <f t="shared" ca="1" si="80"/>
        <v>0</v>
      </c>
      <c r="H211">
        <f t="shared" ca="1" si="81"/>
        <v>0</v>
      </c>
      <c r="I211">
        <f t="shared" ca="1" si="82"/>
        <v>13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(abra o arquivo 'Referência 05-2023.xls)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(abra o arquivo 'Referência 05-2023.xls)</v>
      </c>
      <c r="AG211" s="550">
        <f t="shared" ca="1" si="96"/>
        <v>0</v>
      </c>
      <c r="AH211" s="551">
        <f t="shared" ca="1" si="97"/>
        <v>0.24390000000000001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10</v>
      </c>
      <c r="G212">
        <f t="shared" ca="1" si="80"/>
        <v>0</v>
      </c>
      <c r="H212">
        <f t="shared" ca="1" si="81"/>
        <v>0</v>
      </c>
      <c r="I212">
        <f t="shared" ca="1" si="82"/>
        <v>13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(abra o arquivo 'Referência 05-2023.xls)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(abra o arquivo 'Referência 05-2023.xls)</v>
      </c>
      <c r="AG212" s="550">
        <f t="shared" ca="1" si="96"/>
        <v>0</v>
      </c>
      <c r="AH212" s="551">
        <f t="shared" ca="1" si="97"/>
        <v>0.24390000000000001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10</v>
      </c>
      <c r="G213">
        <f t="shared" ca="1" si="80"/>
        <v>0</v>
      </c>
      <c r="H213">
        <f t="shared" ca="1" si="81"/>
        <v>0</v>
      </c>
      <c r="I213">
        <f t="shared" ca="1" si="82"/>
        <v>13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(abra o arquivo 'Referência 05-2023.xls)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(abra o arquivo 'Referência 05-2023.xls)</v>
      </c>
      <c r="AG213" s="550">
        <f t="shared" ca="1" si="96"/>
        <v>0</v>
      </c>
      <c r="AH213" s="551">
        <f t="shared" ca="1" si="97"/>
        <v>0.24390000000000001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10</v>
      </c>
      <c r="G214">
        <f t="shared" ca="1" si="80"/>
        <v>0</v>
      </c>
      <c r="H214">
        <f t="shared" ca="1" si="81"/>
        <v>0</v>
      </c>
      <c r="I214">
        <f t="shared" ca="1" si="82"/>
        <v>13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(abra o arquivo 'Referência 05-2023.xls)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(abra o arquivo 'Referência 05-2023.xls)</v>
      </c>
      <c r="AG214" s="550">
        <f t="shared" ca="1" si="96"/>
        <v>0</v>
      </c>
      <c r="AH214" s="551">
        <f t="shared" ca="1" si="97"/>
        <v>0.24390000000000001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x14ac:dyDescent="0.2">
      <c r="A215">
        <f t="shared" si="75"/>
        <v>2</v>
      </c>
      <c r="B215">
        <f t="shared" ca="1" si="76"/>
        <v>2</v>
      </c>
      <c r="C215">
        <f t="shared" ca="1" si="77"/>
        <v>2</v>
      </c>
      <c r="D215">
        <f t="shared" ca="1" si="78"/>
        <v>32</v>
      </c>
      <c r="E215">
        <f ca="1">IF($C215=1,OFFSET(E215,-1,0)+MAX(1,COUNTIF(QCI!$A$13:$A$24,OFFSET(ORÇAMENTO!E215,-1,0))),OFFSET(E215,-1,0))</f>
        <v>1</v>
      </c>
      <c r="F215">
        <f t="shared" ca="1" si="79"/>
        <v>11</v>
      </c>
      <c r="G215">
        <f t="shared" ca="1" si="80"/>
        <v>0</v>
      </c>
      <c r="H215">
        <f t="shared" ca="1" si="81"/>
        <v>0</v>
      </c>
      <c r="I215">
        <f t="shared" ca="1" si="82"/>
        <v>0</v>
      </c>
      <c r="J215">
        <f t="shared" ca="1" si="83"/>
        <v>51</v>
      </c>
      <c r="K215">
        <f ca="1">IF(OR($C215="S",$C215=0),0,MATCH(OFFSET($D215,0,$C215)+IF($C215&lt;&gt;1,1,COUNTIF(QCI!$A$13:$A$24,ORÇAMENTO!E215)),OFFSET($D215,1,$C215,ROW($C$266)-ROW($C215)),0))</f>
        <v>32</v>
      </c>
      <c r="L215" s="144" t="str">
        <f t="shared" ca="1" si="84"/>
        <v>F</v>
      </c>
      <c r="M215" s="145" t="s">
        <v>195</v>
      </c>
      <c r="N215" s="146" t="str">
        <f t="shared" ca="1" si="85"/>
        <v>Nível 2</v>
      </c>
      <c r="O215" s="147" t="str">
        <f t="shared" ca="1" si="86"/>
        <v>1.11.</v>
      </c>
      <c r="P215" s="148" t="s">
        <v>246</v>
      </c>
      <c r="Q215" s="149"/>
      <c r="R215" s="150" t="s">
        <v>496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98230.82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98230.819999999992</v>
      </c>
      <c r="AB215" s="158">
        <f t="shared" ca="1" si="92"/>
        <v>0</v>
      </c>
      <c r="AC215" s="159" t="str">
        <f t="shared" ca="1" si="93"/>
        <v/>
      </c>
      <c r="AD215" s="105">
        <f ca="1">IF(C215&lt;=CRONO.NivelExibicao,MAX($AD$15:OFFSET(AD215,-1,0))+IF($C215&lt;&gt;1,1,MAX(1,COUNTIF(QCI!$A$13:$A$24,OFFSET($E215,-1,0)))),"")</f>
        <v>12</v>
      </c>
      <c r="AE215" s="115" t="b">
        <f t="shared" ca="1" si="94"/>
        <v>0</v>
      </c>
      <c r="AF215" s="160" t="str">
        <f t="shared" ca="1" si="95"/>
        <v>(abra o arquivo 'Referência 05-2023.xls)</v>
      </c>
      <c r="AG215" s="550">
        <f t="shared" ca="1" si="96"/>
        <v>0</v>
      </c>
      <c r="AH215" s="551">
        <f t="shared" ca="1" si="97"/>
        <v>0.24390000000000001</v>
      </c>
      <c r="AJ215" s="553"/>
      <c r="AL215" s="574"/>
      <c r="AM215" s="431">
        <f t="shared" ca="1" si="98"/>
        <v>98230.82</v>
      </c>
      <c r="AN215" s="617">
        <f t="shared" ca="1" si="99"/>
        <v>0</v>
      </c>
    </row>
    <row r="216" spans="1:40" ht="5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11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>F</v>
      </c>
      <c r="M216" s="145" t="s">
        <v>198</v>
      </c>
      <c r="N216" s="146" t="str">
        <f t="shared" ca="1" si="85"/>
        <v>Serviço</v>
      </c>
      <c r="O216" s="147" t="str">
        <f t="shared" ca="1" si="86"/>
        <v>1.11.1.</v>
      </c>
      <c r="P216" s="148" t="s">
        <v>246</v>
      </c>
      <c r="Q216" s="149" t="s">
        <v>516</v>
      </c>
      <c r="R216" s="150" t="str">
        <f ca="1">IF($C216="S",REFERENCIA.Descricao,"(digite a descrição aqui)")</f>
        <v>(abra o arquivo 'Referência 05-2023.xls)</v>
      </c>
      <c r="S216" s="151" t="str">
        <f t="shared" ca="1" si="88"/>
        <v>-</v>
      </c>
      <c r="T216" s="152">
        <f ca="1">OFFSET(CÁLCULO!H$15,ROW($T216)-ROW(T$15),0)</f>
        <v>1</v>
      </c>
      <c r="U216" s="153">
        <v>628.09</v>
      </c>
      <c r="V216" s="154" t="s">
        <v>155</v>
      </c>
      <c r="W216" s="152">
        <f t="shared" ca="1" si="89"/>
        <v>781.28</v>
      </c>
      <c r="X216" s="155">
        <f t="shared" ca="1" si="90"/>
        <v>781.28</v>
      </c>
      <c r="Y216" s="156" t="s">
        <v>244</v>
      </c>
      <c r="Z216" t="str">
        <f t="shared" ca="1" si="91"/>
        <v>RA</v>
      </c>
      <c r="AA216" s="157">
        <f ca="1">IF($C216="S",IF($Z216="CP",$X216,IF($Z216="RA",(($X216)*QCI!$AA$3),0)),SomaAgrup)</f>
        <v>781.28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str">
        <f t="shared" ca="1" si="94"/>
        <v>SINAPI 101880</v>
      </c>
      <c r="AF216" s="160" t="str">
        <f t="shared" ca="1" si="95"/>
        <v>(abra o arquivo 'Referência 05-2023.xls)</v>
      </c>
      <c r="AG216" s="550">
        <f t="shared" ca="1" si="96"/>
        <v>0</v>
      </c>
      <c r="AH216" s="551">
        <f t="shared" ca="1" si="97"/>
        <v>0.24390000000000001</v>
      </c>
      <c r="AJ216" s="553">
        <v>1</v>
      </c>
      <c r="AL216" s="574"/>
      <c r="AM216" s="431">
        <f t="shared" ca="1" si="98"/>
        <v>781.28</v>
      </c>
      <c r="AN216" s="617">
        <f t="shared" ca="1" si="99"/>
        <v>781.28</v>
      </c>
    </row>
    <row r="217" spans="1:40" ht="25.5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11</v>
      </c>
      <c r="G217">
        <f t="shared" ca="1" si="80"/>
        <v>0</v>
      </c>
      <c r="H217">
        <f t="shared" ca="1" si="81"/>
        <v>0</v>
      </c>
      <c r="I217">
        <f t="shared" ca="1" si="82"/>
        <v>2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>F</v>
      </c>
      <c r="M217" s="145" t="s">
        <v>198</v>
      </c>
      <c r="N217" s="146" t="str">
        <f t="shared" ca="1" si="85"/>
        <v>Serviço</v>
      </c>
      <c r="O217" s="147" t="str">
        <f t="shared" ca="1" si="86"/>
        <v>1.11.2.</v>
      </c>
      <c r="P217" s="148" t="s">
        <v>246</v>
      </c>
      <c r="Q217" s="149" t="s">
        <v>518</v>
      </c>
      <c r="R217" s="150" t="str">
        <f t="shared" ca="1" si="87"/>
        <v>(abra o arquivo 'Referência 05-2023.xls)</v>
      </c>
      <c r="S217" s="151" t="str">
        <f t="shared" ca="1" si="88"/>
        <v>-</v>
      </c>
      <c r="T217" s="152">
        <f ca="1">OFFSET(CÁLCULO!H$15,ROW($T217)-ROW(T$15),0)</f>
        <v>13</v>
      </c>
      <c r="U217" s="153">
        <v>85.5</v>
      </c>
      <c r="V217" s="154" t="s">
        <v>155</v>
      </c>
      <c r="W217" s="152">
        <f t="shared" ca="1" si="89"/>
        <v>106.35</v>
      </c>
      <c r="X217" s="155">
        <f t="shared" ca="1" si="90"/>
        <v>1382.55</v>
      </c>
      <c r="Y217" s="156" t="s">
        <v>244</v>
      </c>
      <c r="Z217" t="str">
        <f t="shared" ca="1" si="91"/>
        <v>RA</v>
      </c>
      <c r="AA217" s="157">
        <f ca="1">IF($C217="S",IF($Z217="CP",$X217,IF($Z217="RA",(($X217)*QCI!$AA$3),0)),SomaAgrup)</f>
        <v>1382.55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str">
        <f t="shared" ca="1" si="94"/>
        <v>SINAPI 93669</v>
      </c>
      <c r="AF217" s="160" t="str">
        <f t="shared" ca="1" si="95"/>
        <v>(abra o arquivo 'Referência 05-2023.xls)</v>
      </c>
      <c r="AG217" s="550">
        <f t="shared" ca="1" si="96"/>
        <v>0</v>
      </c>
      <c r="AH217" s="551">
        <f t="shared" ca="1" si="97"/>
        <v>0.24390000000000001</v>
      </c>
      <c r="AJ217" s="553">
        <v>13</v>
      </c>
      <c r="AL217" s="574"/>
      <c r="AM217" s="431">
        <f t="shared" ca="1" si="98"/>
        <v>1382.55</v>
      </c>
      <c r="AN217" s="617">
        <f t="shared" ca="1" si="99"/>
        <v>106.35</v>
      </c>
    </row>
    <row r="218" spans="1:40" ht="25.5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11</v>
      </c>
      <c r="G218">
        <f t="shared" ca="1" si="80"/>
        <v>0</v>
      </c>
      <c r="H218">
        <f t="shared" ca="1" si="81"/>
        <v>0</v>
      </c>
      <c r="I218">
        <f t="shared" ca="1" si="82"/>
        <v>3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>F</v>
      </c>
      <c r="M218" s="145" t="s">
        <v>198</v>
      </c>
      <c r="N218" s="146" t="str">
        <f t="shared" ca="1" si="85"/>
        <v>Serviço</v>
      </c>
      <c r="O218" s="147" t="str">
        <f t="shared" ca="1" si="86"/>
        <v>1.11.3.</v>
      </c>
      <c r="P218" s="148" t="s">
        <v>246</v>
      </c>
      <c r="Q218" s="149" t="s">
        <v>497</v>
      </c>
      <c r="R218" s="150" t="str">
        <f t="shared" ca="1" si="87"/>
        <v>(abra o arquivo 'Referência 05-2023.xls)</v>
      </c>
      <c r="S218" s="151" t="str">
        <f t="shared" ca="1" si="88"/>
        <v>-</v>
      </c>
      <c r="T218" s="152">
        <f ca="1">OFFSET(CÁLCULO!H$15,ROW($T218)-ROW(T$15),0)</f>
        <v>195</v>
      </c>
      <c r="U218" s="153">
        <v>22.66</v>
      </c>
      <c r="V218" s="154" t="s">
        <v>155</v>
      </c>
      <c r="W218" s="152">
        <f t="shared" ca="1" si="89"/>
        <v>28.19</v>
      </c>
      <c r="X218" s="155">
        <f t="shared" ca="1" si="90"/>
        <v>5497.05</v>
      </c>
      <c r="Y218" s="156" t="s">
        <v>244</v>
      </c>
      <c r="Z218" t="str">
        <f t="shared" ca="1" si="91"/>
        <v>RA</v>
      </c>
      <c r="AA218" s="157">
        <f ca="1">IF($C218="S",IF($Z218="CP",$X218,IF($Z218="RA",(($X218)*QCI!$AA$3),0)),SomaAgrup)</f>
        <v>5497.05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str">
        <f t="shared" ca="1" si="94"/>
        <v>SINAPI 95728</v>
      </c>
      <c r="AF218" s="160" t="str">
        <f t="shared" ca="1" si="95"/>
        <v>(abra o arquivo 'Referência 05-2023.xls)</v>
      </c>
      <c r="AG218" s="550">
        <f t="shared" ca="1" si="96"/>
        <v>0</v>
      </c>
      <c r="AH218" s="551">
        <f t="shared" ca="1" si="97"/>
        <v>0.24390000000000001</v>
      </c>
      <c r="AJ218" s="553">
        <v>195</v>
      </c>
      <c r="AL218" s="574"/>
      <c r="AM218" s="431">
        <f t="shared" ca="1" si="98"/>
        <v>5497.05</v>
      </c>
      <c r="AN218" s="617">
        <f t="shared" ca="1" si="99"/>
        <v>28.19</v>
      </c>
    </row>
    <row r="219" spans="1:40" ht="25.5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11</v>
      </c>
      <c r="G219">
        <f t="shared" ca="1" si="80"/>
        <v>0</v>
      </c>
      <c r="H219">
        <f t="shared" ca="1" si="81"/>
        <v>0</v>
      </c>
      <c r="I219">
        <f t="shared" ca="1" si="82"/>
        <v>4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>F</v>
      </c>
      <c r="M219" s="145" t="s">
        <v>198</v>
      </c>
      <c r="N219" s="146" t="str">
        <f t="shared" ca="1" si="85"/>
        <v>Serviço</v>
      </c>
      <c r="O219" s="147" t="str">
        <f t="shared" ca="1" si="86"/>
        <v>1.11.4.</v>
      </c>
      <c r="P219" s="148" t="s">
        <v>481</v>
      </c>
      <c r="Q219" s="149" t="s">
        <v>498</v>
      </c>
      <c r="R219" s="150" t="str">
        <f t="shared" ca="1" si="87"/>
        <v>(abra o arquivo 'Referência 05-2023.xls)</v>
      </c>
      <c r="S219" s="151" t="str">
        <f t="shared" ca="1" si="88"/>
        <v>-</v>
      </c>
      <c r="T219" s="152">
        <f ca="1">OFFSET(CÁLCULO!H$15,ROW($T219)-ROW(T$15),0)</f>
        <v>76</v>
      </c>
      <c r="U219" s="153">
        <v>44.66</v>
      </c>
      <c r="V219" s="154" t="s">
        <v>155</v>
      </c>
      <c r="W219" s="152">
        <f t="shared" ca="1" si="89"/>
        <v>55.55</v>
      </c>
      <c r="X219" s="155">
        <f t="shared" ca="1" si="90"/>
        <v>4221.8</v>
      </c>
      <c r="Y219" s="156" t="s">
        <v>244</v>
      </c>
      <c r="Z219" t="str">
        <f t="shared" ca="1" si="91"/>
        <v>RA</v>
      </c>
      <c r="AA219" s="157">
        <f ca="1">IF($C219="S",IF($Z219="CP",$X219,IF($Z219="RA",(($X219)*QCI!$AA$3),0)),SomaAgrup)</f>
        <v>4221.8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str">
        <f t="shared" ca="1" si="94"/>
        <v>Composição 03</v>
      </c>
      <c r="AF219" s="160" t="str">
        <f t="shared" ca="1" si="95"/>
        <v>(abra o arquivo 'Referência 05-2023.xls)</v>
      </c>
      <c r="AG219" s="550">
        <f t="shared" ca="1" si="96"/>
        <v>0</v>
      </c>
      <c r="AH219" s="551">
        <f t="shared" ca="1" si="97"/>
        <v>0.24390000000000001</v>
      </c>
      <c r="AJ219" s="553">
        <v>76</v>
      </c>
      <c r="AL219" s="574"/>
      <c r="AM219" s="431">
        <f t="shared" ca="1" si="98"/>
        <v>4221.8</v>
      </c>
      <c r="AN219" s="617">
        <f t="shared" ca="1" si="99"/>
        <v>55.55</v>
      </c>
    </row>
    <row r="220" spans="1:40" ht="25.5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11</v>
      </c>
      <c r="G220">
        <f t="shared" ca="1" si="80"/>
        <v>0</v>
      </c>
      <c r="H220">
        <f t="shared" ca="1" si="81"/>
        <v>0</v>
      </c>
      <c r="I220">
        <f t="shared" ca="1" si="82"/>
        <v>5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>F</v>
      </c>
      <c r="M220" s="145" t="s">
        <v>198</v>
      </c>
      <c r="N220" s="146" t="str">
        <f t="shared" ca="1" si="85"/>
        <v>Serviço</v>
      </c>
      <c r="O220" s="147" t="str">
        <f t="shared" ca="1" si="86"/>
        <v>1.11.5.</v>
      </c>
      <c r="P220" s="148" t="s">
        <v>246</v>
      </c>
      <c r="Q220" s="149" t="s">
        <v>499</v>
      </c>
      <c r="R220" s="150" t="str">
        <f t="shared" ca="1" si="87"/>
        <v>(abra o arquivo 'Referência 05-2023.xls)</v>
      </c>
      <c r="S220" s="151" t="str">
        <f t="shared" ca="1" si="88"/>
        <v>-</v>
      </c>
      <c r="T220" s="152">
        <f ca="1">OFFSET(CÁLCULO!H$15,ROW($T220)-ROW(T$15),0)</f>
        <v>10</v>
      </c>
      <c r="U220" s="153">
        <v>41.09</v>
      </c>
      <c r="V220" s="154" t="s">
        <v>155</v>
      </c>
      <c r="W220" s="152">
        <f t="shared" ca="1" si="89"/>
        <v>51.11</v>
      </c>
      <c r="X220" s="155">
        <f t="shared" ca="1" si="90"/>
        <v>511.1</v>
      </c>
      <c r="Y220" s="156" t="s">
        <v>244</v>
      </c>
      <c r="Z220" t="str">
        <f t="shared" ca="1" si="91"/>
        <v>RA</v>
      </c>
      <c r="AA220" s="157">
        <f ca="1">IF($C220="S",IF($Z220="CP",$X220,IF($Z220="RA",(($X220)*QCI!$AA$3),0)),SomaAgrup)</f>
        <v>511.1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str">
        <f t="shared" ca="1" si="94"/>
        <v>SINAPI 91955</v>
      </c>
      <c r="AF220" s="160" t="str">
        <f t="shared" ca="1" si="95"/>
        <v>(abra o arquivo 'Referência 05-2023.xls)</v>
      </c>
      <c r="AG220" s="550">
        <f t="shared" ca="1" si="96"/>
        <v>0</v>
      </c>
      <c r="AH220" s="551">
        <f t="shared" ca="1" si="97"/>
        <v>0.24390000000000001</v>
      </c>
      <c r="AJ220" s="553">
        <v>10</v>
      </c>
      <c r="AL220" s="574"/>
      <c r="AM220" s="431">
        <f t="shared" ca="1" si="98"/>
        <v>511.1</v>
      </c>
      <c r="AN220" s="617">
        <f t="shared" ca="1" si="99"/>
        <v>51.11</v>
      </c>
    </row>
    <row r="221" spans="1:40" ht="25.5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11</v>
      </c>
      <c r="G221">
        <f t="shared" ca="1" si="80"/>
        <v>0</v>
      </c>
      <c r="H221">
        <f t="shared" ca="1" si="81"/>
        <v>0</v>
      </c>
      <c r="I221">
        <f t="shared" ca="1" si="82"/>
        <v>6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>F</v>
      </c>
      <c r="M221" s="145" t="s">
        <v>198</v>
      </c>
      <c r="N221" s="146" t="str">
        <f t="shared" ca="1" si="85"/>
        <v>Serviço</v>
      </c>
      <c r="O221" s="147" t="str">
        <f t="shared" ca="1" si="86"/>
        <v>1.11.6.</v>
      </c>
      <c r="P221" s="148" t="s">
        <v>481</v>
      </c>
      <c r="Q221" s="149" t="s">
        <v>500</v>
      </c>
      <c r="R221" s="150" t="str">
        <f t="shared" ca="1" si="87"/>
        <v>(abra o arquivo 'Referência 05-2023.xls)</v>
      </c>
      <c r="S221" s="151" t="str">
        <f t="shared" ca="1" si="88"/>
        <v>-</v>
      </c>
      <c r="T221" s="152">
        <f ca="1">OFFSET(CÁLCULO!H$15,ROW($T221)-ROW(T$15),0)</f>
        <v>55</v>
      </c>
      <c r="U221" s="153">
        <v>52.79</v>
      </c>
      <c r="V221" s="154" t="s">
        <v>155</v>
      </c>
      <c r="W221" s="152">
        <f t="shared" ca="1" si="89"/>
        <v>65.67</v>
      </c>
      <c r="X221" s="155">
        <f t="shared" ca="1" si="90"/>
        <v>3611.85</v>
      </c>
      <c r="Y221" s="156" t="s">
        <v>244</v>
      </c>
      <c r="Z221" t="str">
        <f t="shared" ca="1" si="91"/>
        <v>RA</v>
      </c>
      <c r="AA221" s="157">
        <f ca="1">IF($C221="S",IF($Z221="CP",$X221,IF($Z221="RA",(($X221)*QCI!$AA$3),0)),SomaAgrup)</f>
        <v>3611.85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str">
        <f t="shared" ca="1" si="94"/>
        <v>Composição 04</v>
      </c>
      <c r="AF221" s="160" t="str">
        <f t="shared" ca="1" si="95"/>
        <v>(abra o arquivo 'Referência 05-2023.xls)</v>
      </c>
      <c r="AG221" s="550">
        <f t="shared" ca="1" si="96"/>
        <v>0</v>
      </c>
      <c r="AH221" s="551">
        <f t="shared" ca="1" si="97"/>
        <v>0.24390000000000001</v>
      </c>
      <c r="AJ221" s="553">
        <v>55</v>
      </c>
      <c r="AL221" s="574"/>
      <c r="AM221" s="431">
        <f t="shared" ca="1" si="98"/>
        <v>3611.85</v>
      </c>
      <c r="AN221" s="617">
        <f t="shared" ca="1" si="99"/>
        <v>65.67</v>
      </c>
    </row>
    <row r="222" spans="1:40" ht="38.25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11</v>
      </c>
      <c r="G222">
        <f t="shared" ca="1" si="80"/>
        <v>0</v>
      </c>
      <c r="H222">
        <f t="shared" ca="1" si="81"/>
        <v>0</v>
      </c>
      <c r="I222">
        <f t="shared" ca="1" si="82"/>
        <v>7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>F</v>
      </c>
      <c r="M222" s="145" t="s">
        <v>198</v>
      </c>
      <c r="N222" s="146" t="str">
        <f t="shared" ca="1" si="85"/>
        <v>Serviço</v>
      </c>
      <c r="O222" s="147" t="str">
        <f t="shared" ca="1" si="86"/>
        <v>1.11.7.</v>
      </c>
      <c r="P222" s="148" t="s">
        <v>246</v>
      </c>
      <c r="Q222" s="149" t="s">
        <v>501</v>
      </c>
      <c r="R222" s="150" t="str">
        <f ca="1">IF($C222="S",REFERENCIA.Descricao,"(digite a descrição aqui)")</f>
        <v>(abra o arquivo 'Referência 05-2023.xls)</v>
      </c>
      <c r="S222" s="151" t="str">
        <f t="shared" ca="1" si="88"/>
        <v>-</v>
      </c>
      <c r="T222" s="152">
        <f ca="1">OFFSET(CÁLCULO!H$15,ROW($T222)-ROW(T$15),0)</f>
        <v>112</v>
      </c>
      <c r="U222" s="153">
        <v>15.52</v>
      </c>
      <c r="V222" s="154" t="s">
        <v>155</v>
      </c>
      <c r="W222" s="152">
        <f t="shared" ca="1" si="89"/>
        <v>19.309999999999999</v>
      </c>
      <c r="X222" s="155">
        <f t="shared" ca="1" si="90"/>
        <v>2162.7199999999998</v>
      </c>
      <c r="Y222" s="156" t="s">
        <v>244</v>
      </c>
      <c r="Z222" t="str">
        <f t="shared" ca="1" si="91"/>
        <v>RA</v>
      </c>
      <c r="AA222" s="157">
        <f ca="1">IF($C222="S",IF($Z222="CP",$X222,IF($Z222="RA",(($X222)*QCI!$AA$3),0)),SomaAgrup)</f>
        <v>2162.7199999999998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str">
        <f t="shared" ca="1" si="94"/>
        <v>SINAPI 91840</v>
      </c>
      <c r="AF222" s="160" t="str">
        <f t="shared" ca="1" si="95"/>
        <v>(abra o arquivo 'Referência 05-2023.xls)</v>
      </c>
      <c r="AG222" s="550">
        <f t="shared" ca="1" si="96"/>
        <v>0</v>
      </c>
      <c r="AH222" s="551">
        <f t="shared" ca="1" si="97"/>
        <v>0.24390000000000001</v>
      </c>
      <c r="AJ222" s="553">
        <v>112</v>
      </c>
      <c r="AL222" s="574"/>
      <c r="AM222" s="431">
        <f t="shared" ca="1" si="98"/>
        <v>2162.7199999999998</v>
      </c>
      <c r="AN222" s="617">
        <f t="shared" ca="1" si="99"/>
        <v>19.309999999999999</v>
      </c>
    </row>
    <row r="223" spans="1:40" ht="38.25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11</v>
      </c>
      <c r="G223">
        <f t="shared" ca="1" si="80"/>
        <v>0</v>
      </c>
      <c r="H223">
        <f t="shared" ca="1" si="81"/>
        <v>0</v>
      </c>
      <c r="I223">
        <f t="shared" ca="1" si="82"/>
        <v>8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>F</v>
      </c>
      <c r="M223" s="145" t="s">
        <v>198</v>
      </c>
      <c r="N223" s="146" t="str">
        <f t="shared" ca="1" si="85"/>
        <v>Serviço</v>
      </c>
      <c r="O223" s="147" t="str">
        <f t="shared" ca="1" si="86"/>
        <v>1.11.8.</v>
      </c>
      <c r="P223" s="148" t="s">
        <v>246</v>
      </c>
      <c r="Q223" s="149" t="s">
        <v>502</v>
      </c>
      <c r="R223" s="150" t="str">
        <f t="shared" ca="1" si="87"/>
        <v>(abra o arquivo 'Referência 05-2023.xls)</v>
      </c>
      <c r="S223" s="151" t="str">
        <f t="shared" ca="1" si="88"/>
        <v>-</v>
      </c>
      <c r="T223" s="152">
        <f ca="1">OFFSET(CÁLCULO!H$15,ROW($T223)-ROW(T$15),0)</f>
        <v>810</v>
      </c>
      <c r="U223" s="153">
        <v>4.3899999999999997</v>
      </c>
      <c r="V223" s="154" t="s">
        <v>155</v>
      </c>
      <c r="W223" s="152">
        <f t="shared" ca="1" si="89"/>
        <v>5.46</v>
      </c>
      <c r="X223" s="155">
        <f t="shared" ca="1" si="90"/>
        <v>4422.6000000000004</v>
      </c>
      <c r="Y223" s="156" t="s">
        <v>244</v>
      </c>
      <c r="Z223" t="str">
        <f t="shared" ca="1" si="91"/>
        <v>RA</v>
      </c>
      <c r="AA223" s="157">
        <f ca="1">IF($C223="S",IF($Z223="CP",$X223,IF($Z223="RA",(($X223)*QCI!$AA$3),0)),SomaAgrup)</f>
        <v>4422.6000000000004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str">
        <f t="shared" ca="1" si="94"/>
        <v>SINAPI 91926</v>
      </c>
      <c r="AF223" s="160" t="str">
        <f t="shared" ca="1" si="95"/>
        <v>(abra o arquivo 'Referência 05-2023.xls)</v>
      </c>
      <c r="AG223" s="550">
        <f t="shared" ca="1" si="96"/>
        <v>0</v>
      </c>
      <c r="AH223" s="551">
        <f t="shared" ca="1" si="97"/>
        <v>0.24390000000000001</v>
      </c>
      <c r="AJ223" s="553">
        <v>810</v>
      </c>
      <c r="AL223" s="574"/>
      <c r="AM223" s="431">
        <f t="shared" ca="1" si="98"/>
        <v>4422.6000000000004</v>
      </c>
      <c r="AN223" s="617">
        <f t="shared" ca="1" si="99"/>
        <v>5.46</v>
      </c>
    </row>
    <row r="224" spans="1:40" ht="25.5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11</v>
      </c>
      <c r="G224">
        <f t="shared" ca="1" si="80"/>
        <v>0</v>
      </c>
      <c r="H224">
        <f t="shared" ca="1" si="81"/>
        <v>0</v>
      </c>
      <c r="I224">
        <f t="shared" ca="1" si="82"/>
        <v>9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>F</v>
      </c>
      <c r="M224" s="145" t="s">
        <v>198</v>
      </c>
      <c r="N224" s="146" t="str">
        <f t="shared" ca="1" si="85"/>
        <v>Serviço</v>
      </c>
      <c r="O224" s="147" t="str">
        <f t="shared" ca="1" si="86"/>
        <v>1.11.9.</v>
      </c>
      <c r="P224" s="148" t="s">
        <v>246</v>
      </c>
      <c r="Q224" s="149" t="s">
        <v>517</v>
      </c>
      <c r="R224" s="150" t="str">
        <f t="shared" ca="1" si="87"/>
        <v>(abra o arquivo 'Referência 05-2023.xls)</v>
      </c>
      <c r="S224" s="151" t="str">
        <f t="shared" ca="1" si="88"/>
        <v>-</v>
      </c>
      <c r="T224" s="152">
        <f ca="1">OFFSET(CÁLCULO!H$15,ROW($T224)-ROW(T$15),0)</f>
        <v>150</v>
      </c>
      <c r="U224" s="153">
        <v>14.92</v>
      </c>
      <c r="V224" s="154" t="s">
        <v>155</v>
      </c>
      <c r="W224" s="152">
        <f t="shared" ca="1" si="89"/>
        <v>18.559999999999999</v>
      </c>
      <c r="X224" s="155">
        <f t="shared" ca="1" si="90"/>
        <v>2784</v>
      </c>
      <c r="Y224" s="156" t="s">
        <v>244</v>
      </c>
      <c r="Z224" t="str">
        <f t="shared" ca="1" si="91"/>
        <v>RA</v>
      </c>
      <c r="AA224" s="157">
        <f ca="1">IF($C224="S",IF($Z224="CP",$X224,IF($Z224="RA",(($X224)*QCI!$AA$3),0)),SomaAgrup)</f>
        <v>2784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str">
        <f t="shared" ca="1" si="94"/>
        <v>SINAPI 92981</v>
      </c>
      <c r="AF224" s="160" t="str">
        <f t="shared" ca="1" si="95"/>
        <v>(abra o arquivo 'Referência 05-2023.xls)</v>
      </c>
      <c r="AG224" s="550">
        <f t="shared" ca="1" si="96"/>
        <v>0</v>
      </c>
      <c r="AH224" s="551">
        <f t="shared" ca="1" si="97"/>
        <v>0.24390000000000001</v>
      </c>
      <c r="AJ224" s="553">
        <v>150</v>
      </c>
      <c r="AL224" s="574"/>
      <c r="AM224" s="431">
        <f t="shared" ca="1" si="98"/>
        <v>2784</v>
      </c>
      <c r="AN224" s="617">
        <f t="shared" ca="1" si="99"/>
        <v>18.559999999999999</v>
      </c>
    </row>
    <row r="225" spans="1:40" ht="38.25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11</v>
      </c>
      <c r="G225">
        <f t="shared" ca="1" si="80"/>
        <v>0</v>
      </c>
      <c r="H225">
        <f t="shared" ca="1" si="81"/>
        <v>0</v>
      </c>
      <c r="I225">
        <f t="shared" ca="1" si="82"/>
        <v>10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>F</v>
      </c>
      <c r="M225" s="145" t="s">
        <v>198</v>
      </c>
      <c r="N225" s="146" t="str">
        <f t="shared" ca="1" si="85"/>
        <v>Serviço</v>
      </c>
      <c r="O225" s="147" t="str">
        <f t="shared" ca="1" si="86"/>
        <v>1.11.10.</v>
      </c>
      <c r="P225" s="148" t="s">
        <v>246</v>
      </c>
      <c r="Q225" s="149" t="s">
        <v>503</v>
      </c>
      <c r="R225" s="150" t="str">
        <f t="shared" ca="1" si="87"/>
        <v>(abra o arquivo 'Referência 05-2023.xls)</v>
      </c>
      <c r="S225" s="151" t="str">
        <f t="shared" ca="1" si="88"/>
        <v>-</v>
      </c>
      <c r="T225" s="152">
        <f ca="1">OFFSET(CÁLCULO!H$15,ROW($T225)-ROW(T$15),0)</f>
        <v>805</v>
      </c>
      <c r="U225" s="153">
        <v>9.35</v>
      </c>
      <c r="V225" s="154" t="s">
        <v>155</v>
      </c>
      <c r="W225" s="152">
        <f t="shared" ca="1" si="89"/>
        <v>11.63</v>
      </c>
      <c r="X225" s="155">
        <f t="shared" ca="1" si="90"/>
        <v>9362.15</v>
      </c>
      <c r="Y225" s="156" t="s">
        <v>244</v>
      </c>
      <c r="Z225" t="str">
        <f t="shared" ca="1" si="91"/>
        <v>RA</v>
      </c>
      <c r="AA225" s="157">
        <f ca="1">IF($C225="S",IF($Z225="CP",$X225,IF($Z225="RA",(($X225)*QCI!$AA$3),0)),SomaAgrup)</f>
        <v>9362.15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str">
        <f t="shared" ca="1" si="94"/>
        <v>SINAPI 91930</v>
      </c>
      <c r="AF225" s="160" t="str">
        <f t="shared" ca="1" si="95"/>
        <v>(abra o arquivo 'Referência 05-2023.xls)</v>
      </c>
      <c r="AG225" s="550">
        <f t="shared" ca="1" si="96"/>
        <v>0</v>
      </c>
      <c r="AH225" s="551">
        <f t="shared" ca="1" si="97"/>
        <v>0.24390000000000001</v>
      </c>
      <c r="AJ225" s="553">
        <v>805</v>
      </c>
      <c r="AL225" s="574"/>
      <c r="AM225" s="431">
        <f t="shared" ca="1" si="98"/>
        <v>9362.15</v>
      </c>
      <c r="AN225" s="617">
        <f t="shared" ca="1" si="99"/>
        <v>11.63</v>
      </c>
    </row>
    <row r="226" spans="1:40" ht="38.25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11</v>
      </c>
      <c r="G226">
        <f t="shared" ca="1" si="80"/>
        <v>0</v>
      </c>
      <c r="H226">
        <f t="shared" ca="1" si="81"/>
        <v>0</v>
      </c>
      <c r="I226">
        <f t="shared" ca="1" si="82"/>
        <v>11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>F</v>
      </c>
      <c r="M226" s="145" t="s">
        <v>198</v>
      </c>
      <c r="N226" s="146" t="str">
        <f t="shared" ca="1" si="85"/>
        <v>Serviço</v>
      </c>
      <c r="O226" s="147" t="str">
        <f t="shared" ca="1" si="86"/>
        <v>1.11.11.</v>
      </c>
      <c r="P226" s="148" t="s">
        <v>246</v>
      </c>
      <c r="Q226" s="149" t="s">
        <v>504</v>
      </c>
      <c r="R226" s="150" t="str">
        <f t="shared" ca="1" si="87"/>
        <v>(abra o arquivo 'Referência 05-2023.xls)</v>
      </c>
      <c r="S226" s="151" t="str">
        <f t="shared" ca="1" si="88"/>
        <v>-</v>
      </c>
      <c r="T226" s="152">
        <f ca="1">OFFSET(CÁLCULO!H$15,ROW($T226)-ROW(T$15),0)</f>
        <v>925</v>
      </c>
      <c r="U226" s="153">
        <v>6.72</v>
      </c>
      <c r="V226" s="154" t="s">
        <v>155</v>
      </c>
      <c r="W226" s="152">
        <f t="shared" ca="1" si="89"/>
        <v>8.36</v>
      </c>
      <c r="X226" s="155">
        <f t="shared" ca="1" si="90"/>
        <v>7733</v>
      </c>
      <c r="Y226" s="156" t="s">
        <v>244</v>
      </c>
      <c r="Z226" t="str">
        <f t="shared" ca="1" si="91"/>
        <v>RA</v>
      </c>
      <c r="AA226" s="157">
        <f ca="1">IF($C226="S",IF($Z226="CP",$X226,IF($Z226="RA",(($X226)*QCI!$AA$3),0)),SomaAgrup)</f>
        <v>7733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str">
        <f t="shared" ca="1" si="94"/>
        <v>SINAPI 91928</v>
      </c>
      <c r="AF226" s="160" t="str">
        <f t="shared" ca="1" si="95"/>
        <v>(abra o arquivo 'Referência 05-2023.xls)</v>
      </c>
      <c r="AG226" s="550">
        <f t="shared" ca="1" si="96"/>
        <v>0</v>
      </c>
      <c r="AH226" s="551">
        <f t="shared" ca="1" si="97"/>
        <v>0.24390000000000001</v>
      </c>
      <c r="AJ226" s="553">
        <v>925</v>
      </c>
      <c r="AL226" s="574"/>
      <c r="AM226" s="431">
        <f t="shared" ca="1" si="98"/>
        <v>7733</v>
      </c>
      <c r="AN226" s="617">
        <f t="shared" ca="1" si="99"/>
        <v>8.36</v>
      </c>
    </row>
    <row r="227" spans="1:40" ht="25.5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11</v>
      </c>
      <c r="G227">
        <f t="shared" ca="1" si="80"/>
        <v>0</v>
      </c>
      <c r="H227">
        <f t="shared" ca="1" si="81"/>
        <v>0</v>
      </c>
      <c r="I227">
        <f t="shared" ca="1" si="82"/>
        <v>12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>F</v>
      </c>
      <c r="M227" s="145" t="s">
        <v>198</v>
      </c>
      <c r="N227" s="146" t="str">
        <f t="shared" ca="1" si="85"/>
        <v>Serviço</v>
      </c>
      <c r="O227" s="147" t="str">
        <f t="shared" ca="1" si="86"/>
        <v>1.11.12.</v>
      </c>
      <c r="P227" s="148" t="s">
        <v>481</v>
      </c>
      <c r="Q227" s="149" t="s">
        <v>505</v>
      </c>
      <c r="R227" s="150" t="str">
        <f t="shared" ca="1" si="87"/>
        <v>(abra o arquivo 'Referência 05-2023.xls)</v>
      </c>
      <c r="S227" s="151" t="str">
        <f t="shared" ca="1" si="88"/>
        <v>-</v>
      </c>
      <c r="T227" s="152">
        <f ca="1">OFFSET(CÁLCULO!H$15,ROW($T227)-ROW(T$15),0)</f>
        <v>44</v>
      </c>
      <c r="U227" s="153">
        <v>150.5</v>
      </c>
      <c r="V227" s="154" t="s">
        <v>155</v>
      </c>
      <c r="W227" s="152">
        <f t="shared" ca="1" si="89"/>
        <v>187.21</v>
      </c>
      <c r="X227" s="155">
        <f t="shared" ca="1" si="90"/>
        <v>8237.24</v>
      </c>
      <c r="Y227" s="156" t="s">
        <v>244</v>
      </c>
      <c r="Z227" t="str">
        <f t="shared" ca="1" si="91"/>
        <v>RA</v>
      </c>
      <c r="AA227" s="157">
        <f ca="1">IF($C227="S",IF($Z227="CP",$X227,IF($Z227="RA",(($X227)*QCI!$AA$3),0)),SomaAgrup)</f>
        <v>8237.24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str">
        <f t="shared" ca="1" si="94"/>
        <v>Composição 05</v>
      </c>
      <c r="AF227" s="160" t="str">
        <f t="shared" ca="1" si="95"/>
        <v>(abra o arquivo 'Referência 05-2023.xls)</v>
      </c>
      <c r="AG227" s="550">
        <f t="shared" ca="1" si="96"/>
        <v>0</v>
      </c>
      <c r="AH227" s="551">
        <f t="shared" ca="1" si="97"/>
        <v>0.24390000000000001</v>
      </c>
      <c r="AJ227" s="553">
        <v>44</v>
      </c>
      <c r="AL227" s="574"/>
      <c r="AM227" s="431">
        <f t="shared" ca="1" si="98"/>
        <v>8237.24</v>
      </c>
      <c r="AN227" s="617">
        <f t="shared" ca="1" si="99"/>
        <v>187.21</v>
      </c>
    </row>
    <row r="228" spans="1:40" ht="25.5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11</v>
      </c>
      <c r="G228">
        <f t="shared" ca="1" si="80"/>
        <v>0</v>
      </c>
      <c r="H228">
        <f t="shared" ca="1" si="81"/>
        <v>0</v>
      </c>
      <c r="I228">
        <f t="shared" ca="1" si="82"/>
        <v>13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>F</v>
      </c>
      <c r="M228" s="145" t="s">
        <v>198</v>
      </c>
      <c r="N228" s="146" t="str">
        <f t="shared" ca="1" si="85"/>
        <v>Serviço</v>
      </c>
      <c r="O228" s="147" t="str">
        <f t="shared" ca="1" si="86"/>
        <v>1.11.13.</v>
      </c>
      <c r="P228" s="148" t="s">
        <v>246</v>
      </c>
      <c r="Q228" s="149" t="s">
        <v>506</v>
      </c>
      <c r="R228" s="150" t="str">
        <f t="shared" ca="1" si="87"/>
        <v>(abra o arquivo 'Referência 05-2023.xls)</v>
      </c>
      <c r="S228" s="151" t="str">
        <f t="shared" ca="1" si="88"/>
        <v>-</v>
      </c>
      <c r="T228" s="152">
        <f ca="1">OFFSET(CÁLCULO!H$15,ROW($T228)-ROW(T$15),0)</f>
        <v>6</v>
      </c>
      <c r="U228" s="153">
        <v>40.74</v>
      </c>
      <c r="V228" s="154" t="s">
        <v>155</v>
      </c>
      <c r="W228" s="152">
        <f t="shared" ca="1" si="89"/>
        <v>50.68</v>
      </c>
      <c r="X228" s="155">
        <f t="shared" ca="1" si="90"/>
        <v>304.08</v>
      </c>
      <c r="Y228" s="156" t="s">
        <v>244</v>
      </c>
      <c r="Z228" t="str">
        <f t="shared" ca="1" si="91"/>
        <v>RA</v>
      </c>
      <c r="AA228" s="157">
        <f ca="1">IF($C228="S",IF($Z228="CP",$X228,IF($Z228="RA",(($X228)*QCI!$AA$3),0)),SomaAgrup)</f>
        <v>304.08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str">
        <f t="shared" ca="1" si="94"/>
        <v>SINAPI 103782</v>
      </c>
      <c r="AF228" s="160" t="str">
        <f t="shared" ca="1" si="95"/>
        <v>(abra o arquivo 'Referência 05-2023.xls)</v>
      </c>
      <c r="AG228" s="550">
        <f t="shared" ca="1" si="96"/>
        <v>0</v>
      </c>
      <c r="AH228" s="551">
        <f t="shared" ca="1" si="97"/>
        <v>0.24390000000000001</v>
      </c>
      <c r="AJ228" s="553">
        <v>6</v>
      </c>
      <c r="AL228" s="574"/>
      <c r="AM228" s="431">
        <f t="shared" ca="1" si="98"/>
        <v>304.08</v>
      </c>
      <c r="AN228" s="617">
        <f t="shared" ca="1" si="99"/>
        <v>50.68</v>
      </c>
    </row>
    <row r="229" spans="1:40" ht="25.5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11</v>
      </c>
      <c r="G229">
        <f t="shared" ca="1" si="80"/>
        <v>0</v>
      </c>
      <c r="H229">
        <f t="shared" ca="1" si="81"/>
        <v>0</v>
      </c>
      <c r="I229">
        <f t="shared" ca="1" si="82"/>
        <v>14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>F</v>
      </c>
      <c r="M229" s="145" t="s">
        <v>198</v>
      </c>
      <c r="N229" s="146" t="str">
        <f t="shared" ca="1" si="85"/>
        <v>Serviço</v>
      </c>
      <c r="O229" s="147" t="str">
        <f t="shared" ca="1" si="86"/>
        <v>1.11.14.</v>
      </c>
      <c r="P229" s="148" t="s">
        <v>481</v>
      </c>
      <c r="Q229" s="149" t="s">
        <v>529</v>
      </c>
      <c r="R229" s="150" t="str">
        <f t="shared" ca="1" si="87"/>
        <v>(abra o arquivo 'Referência 05-2023.xls)</v>
      </c>
      <c r="S229" s="151" t="str">
        <f t="shared" ca="1" si="88"/>
        <v>-</v>
      </c>
      <c r="T229" s="152">
        <f ca="1">OFFSET(CÁLCULO!H$15,ROW($T229)-ROW(T$15),0)</f>
        <v>2</v>
      </c>
      <c r="U229" s="153">
        <v>1072.057</v>
      </c>
      <c r="V229" s="154" t="s">
        <v>155</v>
      </c>
      <c r="W229" s="152">
        <f t="shared" ca="1" si="89"/>
        <v>1333.54</v>
      </c>
      <c r="X229" s="155">
        <f t="shared" ca="1" si="90"/>
        <v>2667.08</v>
      </c>
      <c r="Y229" s="156" t="s">
        <v>244</v>
      </c>
      <c r="Z229" t="str">
        <f t="shared" ca="1" si="91"/>
        <v>RA</v>
      </c>
      <c r="AA229" s="157">
        <f ca="1">IF($C229="S",IF($Z229="CP",$X229,IF($Z229="RA",(($X229)*QCI!$AA$3),0)),SomaAgrup)</f>
        <v>2667.08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str">
        <f t="shared" ca="1" si="94"/>
        <v>Composição 08</v>
      </c>
      <c r="AF229" s="160" t="str">
        <f t="shared" ca="1" si="95"/>
        <v>(abra o arquivo 'Referência 05-2023.xls)</v>
      </c>
      <c r="AG229" s="550">
        <f t="shared" ca="1" si="96"/>
        <v>0</v>
      </c>
      <c r="AH229" s="551">
        <f t="shared" ca="1" si="97"/>
        <v>0.24390000000000001</v>
      </c>
      <c r="AJ229" s="553">
        <v>2</v>
      </c>
      <c r="AL229" s="574"/>
      <c r="AM229" s="431">
        <f t="shared" ca="1" si="98"/>
        <v>2667.08</v>
      </c>
      <c r="AN229" s="617">
        <f t="shared" ca="1" si="99"/>
        <v>1333.54</v>
      </c>
    </row>
    <row r="230" spans="1:40" ht="25.5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11</v>
      </c>
      <c r="G230">
        <f t="shared" ca="1" si="80"/>
        <v>0</v>
      </c>
      <c r="H230">
        <f t="shared" ca="1" si="81"/>
        <v>0</v>
      </c>
      <c r="I230">
        <f t="shared" ca="1" si="82"/>
        <v>15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>F</v>
      </c>
      <c r="M230" s="145" t="s">
        <v>198</v>
      </c>
      <c r="N230" s="146" t="str">
        <f t="shared" ca="1" si="85"/>
        <v>Serviço</v>
      </c>
      <c r="O230" s="147" t="str">
        <f t="shared" ca="1" si="86"/>
        <v>1.11.15.</v>
      </c>
      <c r="P230" s="148" t="s">
        <v>542</v>
      </c>
      <c r="Q230" s="149" t="s">
        <v>482</v>
      </c>
      <c r="R230" s="150" t="str">
        <f t="shared" ca="1" si="87"/>
        <v>(abra o arquivo 'Referência 05-2023.xls)</v>
      </c>
      <c r="S230" s="151" t="str">
        <f t="shared" ca="1" si="88"/>
        <v>-</v>
      </c>
      <c r="T230" s="152">
        <f ca="1">OFFSET(CÁLCULO!H$15,ROW($T230)-ROW(T$15),0)</f>
        <v>3</v>
      </c>
      <c r="U230" s="153">
        <v>11880</v>
      </c>
      <c r="V230" s="154" t="s">
        <v>155</v>
      </c>
      <c r="W230" s="152">
        <f t="shared" ca="1" si="89"/>
        <v>14777.53</v>
      </c>
      <c r="X230" s="155">
        <f t="shared" ca="1" si="90"/>
        <v>44332.59</v>
      </c>
      <c r="Y230" s="156" t="s">
        <v>244</v>
      </c>
      <c r="Z230" t="str">
        <f t="shared" ca="1" si="91"/>
        <v>RA</v>
      </c>
      <c r="AA230" s="157">
        <f ca="1">IF($C230="S",IF($Z230="CP",$X230,IF($Z230="RA",(($X230)*QCI!$AA$3),0)),SomaAgrup)</f>
        <v>44332.59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str">
        <f t="shared" ca="1" si="94"/>
        <v>Cotação 01</v>
      </c>
      <c r="AF230" s="160" t="str">
        <f t="shared" ca="1" si="95"/>
        <v>(abra o arquivo 'Referência 05-2023.xls)</v>
      </c>
      <c r="AG230" s="550">
        <f t="shared" ca="1" si="96"/>
        <v>0</v>
      </c>
      <c r="AH230" s="551">
        <f t="shared" ca="1" si="97"/>
        <v>0.24390000000000001</v>
      </c>
      <c r="AJ230" s="553">
        <v>3</v>
      </c>
      <c r="AL230" s="574"/>
      <c r="AM230" s="431">
        <f t="shared" ca="1" si="98"/>
        <v>44332.59</v>
      </c>
      <c r="AN230" s="617">
        <f t="shared" ca="1" si="99"/>
        <v>14777.53</v>
      </c>
    </row>
    <row r="231" spans="1:40" ht="25.5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11</v>
      </c>
      <c r="G231">
        <f t="shared" ca="1" si="80"/>
        <v>0</v>
      </c>
      <c r="H231">
        <f t="shared" ca="1" si="81"/>
        <v>0</v>
      </c>
      <c r="I231">
        <f t="shared" ca="1" si="82"/>
        <v>16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>F</v>
      </c>
      <c r="M231" s="145" t="s">
        <v>198</v>
      </c>
      <c r="N231" s="146" t="str">
        <f t="shared" ca="1" si="85"/>
        <v>Serviço</v>
      </c>
      <c r="O231" s="147" t="str">
        <f t="shared" ca="1" si="86"/>
        <v>1.11.16.</v>
      </c>
      <c r="P231" s="148" t="s">
        <v>246</v>
      </c>
      <c r="Q231" s="149" t="s">
        <v>547</v>
      </c>
      <c r="R231" s="150" t="str">
        <f t="shared" ca="1" si="87"/>
        <v>(abra o arquivo 'Referência 05-2023.xls)</v>
      </c>
      <c r="S231" s="151" t="str">
        <f t="shared" ca="1" si="88"/>
        <v>-</v>
      </c>
      <c r="T231" s="152">
        <f ca="1">OFFSET(CÁLCULO!H$15,ROW($T231)-ROW(T$15),0)</f>
        <v>1</v>
      </c>
      <c r="U231" s="153">
        <v>176.65</v>
      </c>
      <c r="V231" s="154" t="s">
        <v>155</v>
      </c>
      <c r="W231" s="152">
        <f t="shared" ca="1" si="89"/>
        <v>219.73</v>
      </c>
      <c r="X231" s="155">
        <f t="shared" ca="1" si="90"/>
        <v>219.73</v>
      </c>
      <c r="Y231" s="156" t="s">
        <v>244</v>
      </c>
      <c r="Z231" t="str">
        <f t="shared" ca="1" si="91"/>
        <v>RA</v>
      </c>
      <c r="AA231" s="157">
        <f ca="1">IF($C231="S",IF($Z231="CP",$X231,IF($Z231="RA",(($X231)*QCI!$AA$3),0)),SomaAgrup)</f>
        <v>219.73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str">
        <f t="shared" ca="1" si="94"/>
        <v>SINAPI 101894</v>
      </c>
      <c r="AF231" s="160" t="str">
        <f t="shared" ca="1" si="95"/>
        <v>(abra o arquivo 'Referência 05-2023.xls)</v>
      </c>
      <c r="AG231" s="550">
        <f t="shared" ca="1" si="96"/>
        <v>0</v>
      </c>
      <c r="AH231" s="551">
        <f t="shared" ca="1" si="97"/>
        <v>0.24390000000000001</v>
      </c>
      <c r="AJ231" s="553">
        <v>1</v>
      </c>
      <c r="AL231" s="574"/>
      <c r="AM231" s="431">
        <f t="shared" ca="1" si="98"/>
        <v>219.73</v>
      </c>
      <c r="AN231" s="617">
        <f t="shared" ca="1" si="99"/>
        <v>219.73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11</v>
      </c>
      <c r="G232">
        <f t="shared" ca="1" si="80"/>
        <v>0</v>
      </c>
      <c r="H232">
        <f t="shared" ca="1" si="81"/>
        <v>0</v>
      </c>
      <c r="I232">
        <f t="shared" ca="1" si="82"/>
        <v>16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(abra o arquivo 'Referência 05-2023.xls)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(abra o arquivo 'Referência 05-2023.xls)</v>
      </c>
      <c r="AG232" s="550">
        <f t="shared" ca="1" si="96"/>
        <v>0</v>
      </c>
      <c r="AH232" s="551">
        <f t="shared" ca="1" si="97"/>
        <v>0.24390000000000001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11</v>
      </c>
      <c r="G233">
        <f t="shared" ca="1" si="80"/>
        <v>0</v>
      </c>
      <c r="H233">
        <f t="shared" ca="1" si="81"/>
        <v>0</v>
      </c>
      <c r="I233">
        <f t="shared" ca="1" si="82"/>
        <v>16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(abra o arquivo 'Referência 05-2023.xls)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(abra o arquivo 'Referência 05-2023.xls)</v>
      </c>
      <c r="AG233" s="550">
        <f t="shared" ca="1" si="96"/>
        <v>0</v>
      </c>
      <c r="AH233" s="551">
        <f t="shared" ca="1" si="97"/>
        <v>0.24390000000000001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11</v>
      </c>
      <c r="G234">
        <f t="shared" ca="1" si="80"/>
        <v>0</v>
      </c>
      <c r="H234">
        <f t="shared" ca="1" si="81"/>
        <v>0</v>
      </c>
      <c r="I234">
        <f t="shared" ca="1" si="82"/>
        <v>16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(abra o arquivo 'Referência 05-2023.xls)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(abra o arquivo 'Referência 05-2023.xls)</v>
      </c>
      <c r="AG234" s="550">
        <f t="shared" ca="1" si="96"/>
        <v>0</v>
      </c>
      <c r="AH234" s="551">
        <f t="shared" ca="1" si="97"/>
        <v>0.24390000000000001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11</v>
      </c>
      <c r="G235">
        <f t="shared" ca="1" si="80"/>
        <v>0</v>
      </c>
      <c r="H235">
        <f t="shared" ca="1" si="81"/>
        <v>0</v>
      </c>
      <c r="I235">
        <f t="shared" ca="1" si="82"/>
        <v>16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(abra o arquivo 'Referência 05-2023.xls)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(abra o arquivo 'Referência 05-2023.xls)</v>
      </c>
      <c r="AG235" s="550">
        <f t="shared" ca="1" si="96"/>
        <v>0</v>
      </c>
      <c r="AH235" s="551">
        <f t="shared" ca="1" si="97"/>
        <v>0.24390000000000001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11</v>
      </c>
      <c r="G236">
        <f t="shared" ca="1" si="80"/>
        <v>0</v>
      </c>
      <c r="H236">
        <f t="shared" ca="1" si="81"/>
        <v>0</v>
      </c>
      <c r="I236">
        <f t="shared" ca="1" si="82"/>
        <v>16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(abra o arquivo 'Referência 05-2023.xls)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(abra o arquivo 'Referência 05-2023.xls)</v>
      </c>
      <c r="AG236" s="550">
        <f t="shared" ca="1" si="96"/>
        <v>0</v>
      </c>
      <c r="AH236" s="551">
        <f t="shared" ca="1" si="97"/>
        <v>0.24390000000000001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11</v>
      </c>
      <c r="G237">
        <f t="shared" ca="1" si="80"/>
        <v>0</v>
      </c>
      <c r="H237">
        <f t="shared" ca="1" si="81"/>
        <v>0</v>
      </c>
      <c r="I237">
        <f t="shared" ca="1" si="82"/>
        <v>16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(abra o arquivo 'Referência 05-2023.xls)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(abra o arquivo 'Referência 05-2023.xls)</v>
      </c>
      <c r="AG237" s="550">
        <f t="shared" ca="1" si="96"/>
        <v>0</v>
      </c>
      <c r="AH237" s="551">
        <f t="shared" ca="1" si="97"/>
        <v>0.24390000000000001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11</v>
      </c>
      <c r="G238">
        <f t="shared" ca="1" si="80"/>
        <v>0</v>
      </c>
      <c r="H238">
        <f t="shared" ca="1" si="81"/>
        <v>0</v>
      </c>
      <c r="I238">
        <f t="shared" ca="1" si="82"/>
        <v>16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(abra o arquivo 'Referência 05-2023.xls)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(abra o arquivo 'Referência 05-2023.xls)</v>
      </c>
      <c r="AG238" s="550">
        <f t="shared" ca="1" si="96"/>
        <v>0</v>
      </c>
      <c r="AH238" s="551">
        <f t="shared" ca="1" si="97"/>
        <v>0.24390000000000001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11</v>
      </c>
      <c r="G239">
        <f t="shared" ca="1" si="80"/>
        <v>0</v>
      </c>
      <c r="H239">
        <f t="shared" ca="1" si="81"/>
        <v>0</v>
      </c>
      <c r="I239">
        <f t="shared" ca="1" si="82"/>
        <v>16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(abra o arquivo 'Referência 05-2023.xls)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(abra o arquivo 'Referência 05-2023.xls)</v>
      </c>
      <c r="AG239" s="550">
        <f t="shared" ca="1" si="96"/>
        <v>0</v>
      </c>
      <c r="AH239" s="551">
        <f t="shared" ca="1" si="97"/>
        <v>0.24390000000000001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11</v>
      </c>
      <c r="G240">
        <f t="shared" ca="1" si="80"/>
        <v>0</v>
      </c>
      <c r="H240">
        <f t="shared" ca="1" si="81"/>
        <v>0</v>
      </c>
      <c r="I240">
        <f t="shared" ca="1" si="82"/>
        <v>16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(abra o arquivo 'Referência 05-2023.xls)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(abra o arquivo 'Referência 05-2023.xls)</v>
      </c>
      <c r="AG240" s="550">
        <f t="shared" ca="1" si="96"/>
        <v>0</v>
      </c>
      <c r="AH240" s="551">
        <f t="shared" ca="1" si="97"/>
        <v>0.24390000000000001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11</v>
      </c>
      <c r="G241">
        <f t="shared" ca="1" si="80"/>
        <v>0</v>
      </c>
      <c r="H241">
        <f t="shared" ca="1" si="81"/>
        <v>0</v>
      </c>
      <c r="I241">
        <f t="shared" ca="1" si="82"/>
        <v>16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(abra o arquivo 'Referência 05-2023.xls)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(abra o arquivo 'Referência 05-2023.xls)</v>
      </c>
      <c r="AG241" s="550">
        <f t="shared" ca="1" si="96"/>
        <v>0</v>
      </c>
      <c r="AH241" s="551">
        <f t="shared" ca="1" si="97"/>
        <v>0.24390000000000001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11</v>
      </c>
      <c r="G242">
        <f t="shared" ca="1" si="80"/>
        <v>0</v>
      </c>
      <c r="H242">
        <f t="shared" ca="1" si="81"/>
        <v>0</v>
      </c>
      <c r="I242">
        <f t="shared" ca="1" si="82"/>
        <v>16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(abra o arquivo 'Referência 05-2023.xls)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(abra o arquivo 'Referência 05-2023.xls)</v>
      </c>
      <c r="AG242" s="550">
        <f t="shared" ca="1" si="96"/>
        <v>0</v>
      </c>
      <c r="AH242" s="551">
        <f t="shared" ca="1" si="97"/>
        <v>0.24390000000000001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11</v>
      </c>
      <c r="G243">
        <f t="shared" ca="1" si="80"/>
        <v>0</v>
      </c>
      <c r="H243">
        <f t="shared" ca="1" si="81"/>
        <v>0</v>
      </c>
      <c r="I243">
        <f t="shared" ca="1" si="82"/>
        <v>16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(abra o arquivo 'Referência 05-2023.xls)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(abra o arquivo 'Referência 05-2023.xls)</v>
      </c>
      <c r="AG243" s="550">
        <f t="shared" ca="1" si="96"/>
        <v>0</v>
      </c>
      <c r="AH243" s="551">
        <f t="shared" ca="1" si="97"/>
        <v>0.24390000000000001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11</v>
      </c>
      <c r="G244">
        <f t="shared" ca="1" si="80"/>
        <v>0</v>
      </c>
      <c r="H244">
        <f t="shared" ca="1" si="81"/>
        <v>0</v>
      </c>
      <c r="I244">
        <f t="shared" ca="1" si="82"/>
        <v>16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(abra o arquivo 'Referência 05-2023.xls)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(abra o arquivo 'Referência 05-2023.xls)</v>
      </c>
      <c r="AG244" s="550">
        <f t="shared" ca="1" si="96"/>
        <v>0</v>
      </c>
      <c r="AH244" s="551">
        <f t="shared" ca="1" si="97"/>
        <v>0.24390000000000001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11</v>
      </c>
      <c r="G245">
        <f t="shared" ca="1" si="80"/>
        <v>0</v>
      </c>
      <c r="H245">
        <f t="shared" ca="1" si="81"/>
        <v>0</v>
      </c>
      <c r="I245">
        <f t="shared" ca="1" si="82"/>
        <v>16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(abra o arquivo 'Referência 05-2023.xls)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(abra o arquivo 'Referência 05-2023.xls)</v>
      </c>
      <c r="AG245" s="550">
        <f t="shared" ca="1" si="96"/>
        <v>0</v>
      </c>
      <c r="AH245" s="551">
        <f t="shared" ca="1" si="97"/>
        <v>0.24390000000000001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11</v>
      </c>
      <c r="G246">
        <f t="shared" ca="1" si="80"/>
        <v>0</v>
      </c>
      <c r="H246">
        <f t="shared" ca="1" si="81"/>
        <v>0</v>
      </c>
      <c r="I246">
        <f t="shared" ca="1" si="82"/>
        <v>16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(abra o arquivo 'Referência 05-2023.xls)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(abra o arquivo 'Referência 05-2023.xls)</v>
      </c>
      <c r="AG246" s="550">
        <f t="shared" ca="1" si="96"/>
        <v>0</v>
      </c>
      <c r="AH246" s="551">
        <f t="shared" ca="1" si="97"/>
        <v>0.24390000000000001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x14ac:dyDescent="0.2">
      <c r="A247">
        <f t="shared" si="75"/>
        <v>2</v>
      </c>
      <c r="B247">
        <f t="shared" ca="1" si="76"/>
        <v>2</v>
      </c>
      <c r="C247">
        <f t="shared" ca="1" si="77"/>
        <v>2</v>
      </c>
      <c r="D247">
        <f t="shared" ca="1" si="78"/>
        <v>19</v>
      </c>
      <c r="E247">
        <f ca="1">IF($C247=1,OFFSET(E247,-1,0)+MAX(1,COUNTIF(QCI!$A$13:$A$24,OFFSET(ORÇAMENTO!E247,-1,0))),OFFSET(E247,-1,0))</f>
        <v>1</v>
      </c>
      <c r="F247">
        <f t="shared" ca="1" si="79"/>
        <v>12</v>
      </c>
      <c r="G247">
        <f t="shared" ca="1" si="80"/>
        <v>0</v>
      </c>
      <c r="H247">
        <f t="shared" ca="1" si="81"/>
        <v>0</v>
      </c>
      <c r="I247">
        <f t="shared" ca="1" si="82"/>
        <v>0</v>
      </c>
      <c r="J247">
        <f t="shared" ca="1" si="83"/>
        <v>19</v>
      </c>
      <c r="K247" t="e">
        <f ca="1">IF(OR($C247="S",$C247=0),0,MATCH(OFFSET($D247,0,$C247)+IF($C247&lt;&gt;1,1,COUNTIF(QCI!$A$13:$A$24,ORÇAMENTO!E247)),OFFSET($D247,1,$C247,ROW($C$266)-ROW($C247)),0))</f>
        <v>#N/A</v>
      </c>
      <c r="L247" s="144" t="str">
        <f t="shared" ca="1" si="84"/>
        <v>F</v>
      </c>
      <c r="M247" s="145" t="s">
        <v>195</v>
      </c>
      <c r="N247" s="146" t="str">
        <f t="shared" ca="1" si="85"/>
        <v>Nível 2</v>
      </c>
      <c r="O247" s="147" t="str">
        <f t="shared" ca="1" si="86"/>
        <v>1.12.</v>
      </c>
      <c r="P247" s="148" t="s">
        <v>246</v>
      </c>
      <c r="Q247" s="149"/>
      <c r="R247" s="150" t="s">
        <v>530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6565.66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6565.66</v>
      </c>
      <c r="AB247" s="158">
        <f t="shared" ca="1" si="92"/>
        <v>0</v>
      </c>
      <c r="AC247" s="159" t="str">
        <f t="shared" ca="1" si="93"/>
        <v/>
      </c>
      <c r="AD247" s="105">
        <f ca="1">IF(C247&lt;=CRONO.NivelExibicao,MAX($AD$15:OFFSET(AD247,-1,0))+IF($C247&lt;&gt;1,1,MAX(1,COUNTIF(QCI!$A$13:$A$24,OFFSET($E247,-1,0)))),"")</f>
        <v>13</v>
      </c>
      <c r="AE247" s="115" t="b">
        <f t="shared" ca="1" si="94"/>
        <v>0</v>
      </c>
      <c r="AF247" s="160" t="str">
        <f t="shared" ca="1" si="95"/>
        <v>(abra o arquivo 'Referência 05-2023.xls)</v>
      </c>
      <c r="AG247" s="550">
        <f t="shared" ca="1" si="96"/>
        <v>0</v>
      </c>
      <c r="AH247" s="551">
        <f t="shared" ca="1" si="97"/>
        <v>0.24390000000000001</v>
      </c>
      <c r="AJ247" s="553"/>
      <c r="AL247" s="574"/>
      <c r="AM247" s="431">
        <f t="shared" ca="1" si="98"/>
        <v>6565.66</v>
      </c>
      <c r="AN247" s="617">
        <f t="shared" ca="1" si="99"/>
        <v>0</v>
      </c>
    </row>
    <row r="248" spans="1:40" ht="25.5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12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>F</v>
      </c>
      <c r="M248" s="145" t="s">
        <v>198</v>
      </c>
      <c r="N248" s="146" t="str">
        <f t="shared" ca="1" si="85"/>
        <v>Serviço</v>
      </c>
      <c r="O248" s="147" t="str">
        <f t="shared" ca="1" si="86"/>
        <v>1.12.1.</v>
      </c>
      <c r="P248" s="148" t="s">
        <v>481</v>
      </c>
      <c r="Q248" s="149" t="s">
        <v>537</v>
      </c>
      <c r="R248" s="150" t="str">
        <f t="shared" ca="1" si="87"/>
        <v>(abra o arquivo 'Referência 05-2023.xls)</v>
      </c>
      <c r="S248" s="151">
        <v>5278.29</v>
      </c>
      <c r="T248" s="152">
        <f ca="1">OFFSET(CÁLCULO!H$15,ROW($T248)-ROW(T$15),0)</f>
        <v>1</v>
      </c>
      <c r="U248" s="153">
        <v>5278.29</v>
      </c>
      <c r="V248" s="154" t="s">
        <v>155</v>
      </c>
      <c r="W248" s="152">
        <f t="shared" ca="1" si="89"/>
        <v>6565.66</v>
      </c>
      <c r="X248" s="155">
        <f t="shared" ca="1" si="90"/>
        <v>6565.66</v>
      </c>
      <c r="Y248" s="156" t="s">
        <v>244</v>
      </c>
      <c r="Z248" t="str">
        <f t="shared" ca="1" si="91"/>
        <v>RA</v>
      </c>
      <c r="AA248" s="157">
        <f ca="1">IF($C248="S",IF($Z248="CP",$X248,IF($Z248="RA",(($X248)*QCI!$AA$3),0)),SomaAgrup)</f>
        <v>6565.66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str">
        <f t="shared" ca="1" si="94"/>
        <v>Composição 09</v>
      </c>
      <c r="AF248" s="160" t="str">
        <f t="shared" ca="1" si="95"/>
        <v>(abra o arquivo 'Referência 05-2023.xls)</v>
      </c>
      <c r="AG248" s="550">
        <f t="shared" ca="1" si="96"/>
        <v>0</v>
      </c>
      <c r="AH248" s="551">
        <f t="shared" ca="1" si="97"/>
        <v>0.24390000000000001</v>
      </c>
      <c r="AJ248" s="553">
        <v>1</v>
      </c>
      <c r="AL248" s="574"/>
      <c r="AM248" s="431">
        <f t="shared" ca="1" si="98"/>
        <v>6565.66</v>
      </c>
      <c r="AN248" s="617">
        <f t="shared" ca="1" si="99"/>
        <v>6565.66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12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(abra o arquivo 'Referência 05-2023.xls)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(abra o arquivo 'Referência 05-2023.xls)</v>
      </c>
      <c r="AG249" s="550">
        <f t="shared" ca="1" si="96"/>
        <v>0</v>
      </c>
      <c r="AH249" s="551">
        <f t="shared" ca="1" si="97"/>
        <v>0.24390000000000001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12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(abra o arquivo 'Referência 05-2023.xls)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(abra o arquivo 'Referência 05-2023.xls)</v>
      </c>
      <c r="AG250" s="550">
        <f t="shared" ca="1" si="96"/>
        <v>0</v>
      </c>
      <c r="AH250" s="551">
        <f t="shared" ca="1" si="97"/>
        <v>0.24390000000000001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12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450</v>
      </c>
      <c r="Q251" s="149"/>
      <c r="R251" s="150" t="str">
        <f t="shared" ca="1" si="87"/>
        <v>(abra o arquivo 'Referência 05-2023.xls)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(abra o arquivo 'Referência 05-2023.xls)</v>
      </c>
      <c r="AG251" s="550">
        <f t="shared" ca="1" si="96"/>
        <v>0</v>
      </c>
      <c r="AH251" s="551">
        <f t="shared" ca="1" si="97"/>
        <v>0.24390000000000001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12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(abra o arquivo 'Referência 05-2023.xls)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(abra o arquivo 'Referência 05-2023.xls)</v>
      </c>
      <c r="AG252" s="550">
        <f t="shared" ca="1" si="96"/>
        <v>0</v>
      </c>
      <c r="AH252" s="551">
        <f t="shared" ca="1" si="97"/>
        <v>0.24390000000000001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12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(abra o arquivo 'Referência 05-2023.xls)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(abra o arquivo 'Referência 05-2023.xls)</v>
      </c>
      <c r="AG253" s="550">
        <f t="shared" ca="1" si="96"/>
        <v>0</v>
      </c>
      <c r="AH253" s="551">
        <f t="shared" ca="1" si="97"/>
        <v>0.24390000000000001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12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(abra o arquivo 'Referência 05-2023.xls)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(abra o arquivo 'Referência 05-2023.xls)</v>
      </c>
      <c r="AG254" s="550">
        <f t="shared" ca="1" si="96"/>
        <v>0</v>
      </c>
      <c r="AH254" s="551">
        <f t="shared" ca="1" si="97"/>
        <v>0.24390000000000001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12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(abra o arquivo 'Referência 05-2023.xls)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(abra o arquivo 'Referência 05-2023.xls)</v>
      </c>
      <c r="AG255" s="550">
        <f t="shared" ca="1" si="96"/>
        <v>0</v>
      </c>
      <c r="AH255" s="551">
        <f t="shared" ca="1" si="97"/>
        <v>0.24390000000000001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12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(abra o arquivo 'Referência 05-2023.xls)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(abra o arquivo 'Referência 05-2023.xls)</v>
      </c>
      <c r="AG256" s="550">
        <f t="shared" ca="1" si="96"/>
        <v>0</v>
      </c>
      <c r="AH256" s="551">
        <f t="shared" ca="1" si="97"/>
        <v>0.24390000000000001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12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(abra o arquivo 'Referência 05-2023.xls)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(abra o arquivo 'Referência 05-2023.xls)</v>
      </c>
      <c r="AG257" s="550">
        <f t="shared" ca="1" si="96"/>
        <v>0</v>
      </c>
      <c r="AH257" s="551">
        <f t="shared" ca="1" si="97"/>
        <v>0.24390000000000001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12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(abra o arquivo 'Referência 05-2023.xls)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(abra o arquivo 'Referência 05-2023.xls)</v>
      </c>
      <c r="AG258" s="550">
        <f t="shared" ca="1" si="96"/>
        <v>0</v>
      </c>
      <c r="AH258" s="551">
        <f t="shared" ca="1" si="97"/>
        <v>0.24390000000000001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12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(abra o arquivo 'Referência 05-2023.xls)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(abra o arquivo 'Referência 05-2023.xls)</v>
      </c>
      <c r="AG259" s="550">
        <f t="shared" ca="1" si="96"/>
        <v>0</v>
      </c>
      <c r="AH259" s="551">
        <f t="shared" ca="1" si="97"/>
        <v>0.24390000000000001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12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(abra o arquivo 'Referência 05-2023.xls)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(abra o arquivo 'Referência 05-2023.xls)</v>
      </c>
      <c r="AG260" s="550">
        <f t="shared" ca="1" si="96"/>
        <v>0</v>
      </c>
      <c r="AH260" s="551">
        <f t="shared" ca="1" si="97"/>
        <v>0.24390000000000001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12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(abra o arquivo 'Referência 05-2023.xls)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(abra o arquivo 'Referência 05-2023.xls)</v>
      </c>
      <c r="AG261" s="550">
        <f t="shared" ca="1" si="96"/>
        <v>0</v>
      </c>
      <c r="AH261" s="551">
        <f t="shared" ca="1" si="97"/>
        <v>0.24390000000000001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12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(abra o arquivo 'Referência 05-2023.xls)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(abra o arquivo 'Referência 05-2023.xls)</v>
      </c>
      <c r="AG262" s="550">
        <f t="shared" ca="1" si="96"/>
        <v>0</v>
      </c>
      <c r="AH262" s="551">
        <f t="shared" ca="1" si="97"/>
        <v>0.24390000000000001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12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(abra o arquivo 'Referência 05-2023.xls)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(abra o arquivo 'Referência 05-2023.xls)</v>
      </c>
      <c r="AG263" s="550">
        <f t="shared" ca="1" si="96"/>
        <v>0</v>
      </c>
      <c r="AH263" s="551">
        <f t="shared" ca="1" si="97"/>
        <v>0.24390000000000001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12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(abra o arquivo 'Referência 05-2023.xls)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(abra o arquivo 'Referência 05-2023.xls)</v>
      </c>
      <c r="AG264" s="550">
        <f t="shared" ca="1" si="96"/>
        <v>0</v>
      </c>
      <c r="AH264" s="551">
        <f t="shared" ca="1" si="97"/>
        <v>0.24390000000000001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12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(abra o arquivo 'Referência 05-2023.xls)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(abra o arquivo 'Referência 05-2023.xls)</v>
      </c>
      <c r="AG265" s="550">
        <f t="shared" ca="1" si="96"/>
        <v>0</v>
      </c>
      <c r="AH265" s="551">
        <f t="shared" ca="1" si="97"/>
        <v>0.24390000000000001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695" t="s">
        <v>248</v>
      </c>
      <c r="R269" s="695"/>
      <c r="S269" s="695"/>
      <c r="T269" s="695"/>
      <c r="U269" s="695"/>
      <c r="V269" s="695"/>
      <c r="W269" s="695"/>
      <c r="X269" s="69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696"/>
      <c r="P272" s="696"/>
      <c r="Q272" s="696"/>
      <c r="R272" s="696"/>
      <c r="S272" s="696"/>
      <c r="T272" s="696"/>
      <c r="U272" s="696"/>
      <c r="V272" s="696"/>
      <c r="W272" s="696"/>
      <c r="X272" s="696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696"/>
      <c r="P273" s="696"/>
      <c r="Q273" s="696"/>
      <c r="R273" s="696"/>
      <c r="S273" s="696"/>
      <c r="T273" s="696"/>
      <c r="U273" s="696"/>
      <c r="V273" s="696"/>
      <c r="W273" s="696"/>
      <c r="X273" s="696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696"/>
      <c r="P274" s="696"/>
      <c r="Q274" s="696"/>
      <c r="R274" s="696"/>
      <c r="S274" s="696"/>
      <c r="T274" s="696"/>
      <c r="U274" s="696"/>
      <c r="V274" s="696"/>
      <c r="W274" s="696"/>
      <c r="X274" s="696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697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697"/>
      <c r="Q276" s="697"/>
      <c r="R276" s="697"/>
      <c r="S276" s="697"/>
      <c r="T276" s="697"/>
      <c r="U276" s="697"/>
      <c r="V276" s="697"/>
      <c r="W276" s="697"/>
      <c r="X276" s="697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699" t="s">
        <v>249</v>
      </c>
      <c r="P277" s="699"/>
      <c r="Q277" s="699"/>
      <c r="R277" s="699"/>
      <c r="S277" s="699"/>
      <c r="T277" s="699"/>
      <c r="U277" s="699"/>
      <c r="V277" s="699"/>
      <c r="W277" s="699"/>
      <c r="X277" s="699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698" t="str">
        <f>Import.Município</f>
        <v>CEU AZUL - PR</v>
      </c>
      <c r="P279" s="698"/>
      <c r="Q279" s="698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GIAN CARLOS BORTOLINI VALLI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693">
        <f>DADOS!$F$25</f>
        <v>45131</v>
      </c>
      <c r="P282" s="693"/>
      <c r="Q282" s="693"/>
      <c r="R282" s="105"/>
      <c r="S282" s="95" t="s">
        <v>108</v>
      </c>
      <c r="T282" s="96" t="str">
        <v>PR-163755/D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282:Q282"/>
    <mergeCell ref="O15:R15"/>
    <mergeCell ref="Q269:X269"/>
    <mergeCell ref="O272:X274"/>
    <mergeCell ref="O276:X276"/>
    <mergeCell ref="O279:Q279"/>
    <mergeCell ref="O277:X277"/>
  </mergeCells>
  <phoneticPr fontId="39" type="noConversion"/>
  <conditionalFormatting sqref="M14">
    <cfRule type="cellIs" dxfId="1174" priority="7322" stopIfTrue="1" operator="notEqual">
      <formula>$N14</formula>
    </cfRule>
  </conditionalFormatting>
  <conditionalFormatting sqref="N14:O14 R14 W14:X14">
    <cfRule type="expression" dxfId="1173" priority="7323" stopIfTrue="1">
      <formula>$C14=1</formula>
    </cfRule>
    <cfRule type="expression" dxfId="1172" priority="7324" stopIfTrue="1">
      <formula>OR($C14=0,$C14=2,$C14=3,$C14=4)</formula>
    </cfRule>
  </conditionalFormatting>
  <conditionalFormatting sqref="U14:V14">
    <cfRule type="expression" dxfId="1171" priority="7325" stopIfTrue="1">
      <formula>$C14=1</formula>
    </cfRule>
    <cfRule type="expression" dxfId="1170" priority="7326" stopIfTrue="1">
      <formula>OR($C14=0,$C14=2,$C14=3,$C14=4)</formula>
    </cfRule>
    <cfRule type="expression" dxfId="1169" priority="7327" stopIfTrue="1">
      <formula>AND(TIPOORCAMENTO="Licitado",$C14&lt;&gt;"L",$C14&lt;&gt;-1)</formula>
    </cfRule>
  </conditionalFormatting>
  <conditionalFormatting sqref="P14:Q14 S14:T14 Y14 AG14:AH14">
    <cfRule type="expression" dxfId="1168" priority="7328" stopIfTrue="1">
      <formula>$C14=1</formula>
    </cfRule>
    <cfRule type="expression" dxfId="1167" priority="7329" stopIfTrue="1">
      <formula>OR($C14=0,$C14=2,$C14=3,$C14=4)</formula>
    </cfRule>
  </conditionalFormatting>
  <conditionalFormatting sqref="AJ7:AJ15 AJ266">
    <cfRule type="expression" dxfId="1166" priority="7330" stopIfTrue="1">
      <formula>OR(ACOMPANHAMENTO&lt;&gt;"BM",TIPOORCAMENTO="Licitado")</formula>
    </cfRule>
    <cfRule type="expression" dxfId="1165" priority="7331" stopIfTrue="1">
      <formula>$C7=1</formula>
    </cfRule>
    <cfRule type="expression" dxfId="1164" priority="7332" stopIfTrue="1">
      <formula>OR(AND(ISNUMBER($C7),$C7=0),$C7=2,$C7=3,$C7=4)</formula>
    </cfRule>
  </conditionalFormatting>
  <conditionalFormatting sqref="AL7:AL15 AL266">
    <cfRule type="expression" dxfId="1163" priority="7333" stopIfTrue="1">
      <formula>TIPOORCAMENTO="PROPOSTO"</formula>
    </cfRule>
    <cfRule type="expression" dxfId="1162" priority="7334" stopIfTrue="1">
      <formula>$C7=1</formula>
    </cfRule>
    <cfRule type="expression" dxfId="1161" priority="7335" stopIfTrue="1">
      <formula>OR(AND(ISNUMBER($C7),$C7=0),$C7=2,$C7=3,$C7=4)</formula>
    </cfRule>
  </conditionalFormatting>
  <conditionalFormatting sqref="O8:P8">
    <cfRule type="expression" dxfId="1160" priority="7339" stopIfTrue="1">
      <formula>ISERROR(INDIRECT($F$9))</formula>
    </cfRule>
  </conditionalFormatting>
  <conditionalFormatting sqref="S7:V8">
    <cfRule type="expression" dxfId="1159" priority="7340" stopIfTrue="1">
      <formula>TIPOORCAMENTO="Proposto"</formula>
    </cfRule>
  </conditionalFormatting>
  <conditionalFormatting sqref="S9:V9">
    <cfRule type="expression" dxfId="1158" priority="7287" stopIfTrue="1">
      <formula>TIPOORCAMENTO="Proposto"</formula>
    </cfRule>
  </conditionalFormatting>
  <conditionalFormatting sqref="AM7:AN15 AM266:AN266">
    <cfRule type="expression" dxfId="1157" priority="7336" stopIfTrue="1">
      <formula>TIPOORCAMENTO="PROPOSTO"</formula>
    </cfRule>
    <cfRule type="expression" dxfId="1156" priority="7337" stopIfTrue="1">
      <formula>$C7=1</formula>
    </cfRule>
    <cfRule type="expression" dxfId="1155" priority="7338" stopIfTrue="1">
      <formula>OR(AND(ISNUMBER($C7),$C7=0),$C7=2,$C7=3,$C7=4)</formula>
    </cfRule>
  </conditionalFormatting>
  <conditionalFormatting sqref="M16:M24">
    <cfRule type="cellIs" dxfId="1154" priority="480" stopIfTrue="1" operator="notEqual">
      <formula>$N16</formula>
    </cfRule>
  </conditionalFormatting>
  <conditionalFormatting sqref="N16:O24 R16:R24 W16:X24">
    <cfRule type="expression" dxfId="1153" priority="481" stopIfTrue="1">
      <formula>$C16=1</formula>
    </cfRule>
    <cfRule type="expression" dxfId="1152" priority="482" stopIfTrue="1">
      <formula>OR($C16=0,$C16=2,$C16=3,$C16=4)</formula>
    </cfRule>
  </conditionalFormatting>
  <conditionalFormatting sqref="U16:V24">
    <cfRule type="expression" dxfId="1151" priority="483" stopIfTrue="1">
      <formula>$C16=1</formula>
    </cfRule>
    <cfRule type="expression" dxfId="1150" priority="484" stopIfTrue="1">
      <formula>OR($C16=0,$C16=2,$C16=3,$C16=4)</formula>
    </cfRule>
    <cfRule type="expression" dxfId="1149" priority="485" stopIfTrue="1">
      <formula>AND(TIPOORCAMENTO="Licitado",$C16&lt;&gt;"L",$C16&lt;&gt;-1)</formula>
    </cfRule>
  </conditionalFormatting>
  <conditionalFormatting sqref="P16:Q24 S16:T24 Y16:Y24 AG16:AH24">
    <cfRule type="expression" dxfId="1148" priority="486" stopIfTrue="1">
      <formula>$C16=1</formula>
    </cfRule>
    <cfRule type="expression" dxfId="1147" priority="487" stopIfTrue="1">
      <formula>OR($C16=0,$C16=2,$C16=3,$C16=4)</formula>
    </cfRule>
  </conditionalFormatting>
  <conditionalFormatting sqref="AJ16:AJ24">
    <cfRule type="expression" dxfId="1146" priority="488" stopIfTrue="1">
      <formula>OR(ACOMPANHAMENTO&lt;&gt;"BM",TIPOORCAMENTO="Licitado")</formula>
    </cfRule>
    <cfRule type="expression" dxfId="1145" priority="489" stopIfTrue="1">
      <formula>$C16=1</formula>
    </cfRule>
    <cfRule type="expression" dxfId="1144" priority="490" stopIfTrue="1">
      <formula>OR(AND(ISNUMBER($C16),$C16=0),$C16=2,$C16=3,$C16=4)</formula>
    </cfRule>
  </conditionalFormatting>
  <conditionalFormatting sqref="AL16:AL24">
    <cfRule type="expression" dxfId="1143" priority="491" stopIfTrue="1">
      <formula>TIPOORCAMENTO="PROPOSTO"</formula>
    </cfRule>
    <cfRule type="expression" dxfId="1142" priority="492" stopIfTrue="1">
      <formula>$C16=1</formula>
    </cfRule>
    <cfRule type="expression" dxfId="1141" priority="493" stopIfTrue="1">
      <formula>OR(AND(ISNUMBER($C16),$C16=0),$C16=2,$C16=3,$C16=4)</formula>
    </cfRule>
  </conditionalFormatting>
  <conditionalFormatting sqref="AM16:AN24">
    <cfRule type="expression" dxfId="1140" priority="494" stopIfTrue="1">
      <formula>TIPOORCAMENTO="PROPOSTO"</formula>
    </cfRule>
    <cfRule type="expression" dxfId="1139" priority="495" stopIfTrue="1">
      <formula>$C16=1</formula>
    </cfRule>
    <cfRule type="expression" dxfId="1138" priority="496" stopIfTrue="1">
      <formula>OR(AND(ISNUMBER($C16),$C16=0),$C16=2,$C16=3,$C16=4)</formula>
    </cfRule>
  </conditionalFormatting>
  <conditionalFormatting sqref="M25:M33">
    <cfRule type="cellIs" dxfId="1137" priority="463" stopIfTrue="1" operator="notEqual">
      <formula>$N25</formula>
    </cfRule>
  </conditionalFormatting>
  <conditionalFormatting sqref="N25:O33 R25:R33 W25:X33">
    <cfRule type="expression" dxfId="1136" priority="464" stopIfTrue="1">
      <formula>$C25=1</formula>
    </cfRule>
    <cfRule type="expression" dxfId="1135" priority="465" stopIfTrue="1">
      <formula>OR($C25=0,$C25=2,$C25=3,$C25=4)</formula>
    </cfRule>
  </conditionalFormatting>
  <conditionalFormatting sqref="U25:V33">
    <cfRule type="expression" dxfId="1134" priority="466" stopIfTrue="1">
      <formula>$C25=1</formula>
    </cfRule>
    <cfRule type="expression" dxfId="1133" priority="467" stopIfTrue="1">
      <formula>OR($C25=0,$C25=2,$C25=3,$C25=4)</formula>
    </cfRule>
    <cfRule type="expression" dxfId="1132" priority="468" stopIfTrue="1">
      <formula>AND(TIPOORCAMENTO="Licitado",$C25&lt;&gt;"L",$C25&lt;&gt;-1)</formula>
    </cfRule>
  </conditionalFormatting>
  <conditionalFormatting sqref="P25:Q33 S25:T33 Y25:Y33 AG25:AH33">
    <cfRule type="expression" dxfId="1131" priority="469" stopIfTrue="1">
      <formula>$C25=1</formula>
    </cfRule>
    <cfRule type="expression" dxfId="1130" priority="470" stopIfTrue="1">
      <formula>OR($C25=0,$C25=2,$C25=3,$C25=4)</formula>
    </cfRule>
  </conditionalFormatting>
  <conditionalFormatting sqref="AJ25:AJ33">
    <cfRule type="expression" dxfId="1129" priority="471" stopIfTrue="1">
      <formula>OR(ACOMPANHAMENTO&lt;&gt;"BM",TIPOORCAMENTO="Licitado")</formula>
    </cfRule>
    <cfRule type="expression" dxfId="1128" priority="472" stopIfTrue="1">
      <formula>$C25=1</formula>
    </cfRule>
    <cfRule type="expression" dxfId="1127" priority="473" stopIfTrue="1">
      <formula>OR(AND(ISNUMBER($C25),$C25=0),$C25=2,$C25=3,$C25=4)</formula>
    </cfRule>
  </conditionalFormatting>
  <conditionalFormatting sqref="AL25:AL33">
    <cfRule type="expression" dxfId="1126" priority="474" stopIfTrue="1">
      <formula>TIPOORCAMENTO="PROPOSTO"</formula>
    </cfRule>
    <cfRule type="expression" dxfId="1125" priority="475" stopIfTrue="1">
      <formula>$C25=1</formula>
    </cfRule>
    <cfRule type="expression" dxfId="1124" priority="476" stopIfTrue="1">
      <formula>OR(AND(ISNUMBER($C25),$C25=0),$C25=2,$C25=3,$C25=4)</formula>
    </cfRule>
  </conditionalFormatting>
  <conditionalFormatting sqref="AM25:AN33">
    <cfRule type="expression" dxfId="1123" priority="477" stopIfTrue="1">
      <formula>TIPOORCAMENTO="PROPOSTO"</formula>
    </cfRule>
    <cfRule type="expression" dxfId="1122" priority="478" stopIfTrue="1">
      <formula>$C25=1</formula>
    </cfRule>
    <cfRule type="expression" dxfId="1121" priority="479" stopIfTrue="1">
      <formula>OR(AND(ISNUMBER($C25),$C25=0),$C25=2,$C25=3,$C25=4)</formula>
    </cfRule>
  </conditionalFormatting>
  <conditionalFormatting sqref="M34:M42">
    <cfRule type="cellIs" dxfId="1120" priority="446" stopIfTrue="1" operator="notEqual">
      <formula>$N34</formula>
    </cfRule>
  </conditionalFormatting>
  <conditionalFormatting sqref="N34:O42 R34:R42 W34:X42">
    <cfRule type="expression" dxfId="1119" priority="447" stopIfTrue="1">
      <formula>$C34=1</formula>
    </cfRule>
    <cfRule type="expression" dxfId="1118" priority="448" stopIfTrue="1">
      <formula>OR($C34=0,$C34=2,$C34=3,$C34=4)</formula>
    </cfRule>
  </conditionalFormatting>
  <conditionalFormatting sqref="U34:V42">
    <cfRule type="expression" dxfId="1117" priority="449" stopIfTrue="1">
      <formula>$C34=1</formula>
    </cfRule>
    <cfRule type="expression" dxfId="1116" priority="450" stopIfTrue="1">
      <formula>OR($C34=0,$C34=2,$C34=3,$C34=4)</formula>
    </cfRule>
    <cfRule type="expression" dxfId="1115" priority="451" stopIfTrue="1">
      <formula>AND(TIPOORCAMENTO="Licitado",$C34&lt;&gt;"L",$C34&lt;&gt;-1)</formula>
    </cfRule>
  </conditionalFormatting>
  <conditionalFormatting sqref="P34:Q42 S34:T42 Y34:Y42 AG34:AH42">
    <cfRule type="expression" dxfId="1114" priority="452" stopIfTrue="1">
      <formula>$C34=1</formula>
    </cfRule>
    <cfRule type="expression" dxfId="1113" priority="453" stopIfTrue="1">
      <formula>OR($C34=0,$C34=2,$C34=3,$C34=4)</formula>
    </cfRule>
  </conditionalFormatting>
  <conditionalFormatting sqref="AJ34:AJ42">
    <cfRule type="expression" dxfId="1112" priority="454" stopIfTrue="1">
      <formula>OR(ACOMPANHAMENTO&lt;&gt;"BM",TIPOORCAMENTO="Licitado")</formula>
    </cfRule>
    <cfRule type="expression" dxfId="1111" priority="455" stopIfTrue="1">
      <formula>$C34=1</formula>
    </cfRule>
    <cfRule type="expression" dxfId="1110" priority="456" stopIfTrue="1">
      <formula>OR(AND(ISNUMBER($C34),$C34=0),$C34=2,$C34=3,$C34=4)</formula>
    </cfRule>
  </conditionalFormatting>
  <conditionalFormatting sqref="AL34:AL42">
    <cfRule type="expression" dxfId="1109" priority="457" stopIfTrue="1">
      <formula>TIPOORCAMENTO="PROPOSTO"</formula>
    </cfRule>
    <cfRule type="expression" dxfId="1108" priority="458" stopIfTrue="1">
      <formula>$C34=1</formula>
    </cfRule>
    <cfRule type="expression" dxfId="1107" priority="459" stopIfTrue="1">
      <formula>OR(AND(ISNUMBER($C34),$C34=0),$C34=2,$C34=3,$C34=4)</formula>
    </cfRule>
  </conditionalFormatting>
  <conditionalFormatting sqref="AM34:AN42">
    <cfRule type="expression" dxfId="1106" priority="460" stopIfTrue="1">
      <formula>TIPOORCAMENTO="PROPOSTO"</formula>
    </cfRule>
    <cfRule type="expression" dxfId="1105" priority="461" stopIfTrue="1">
      <formula>$C34=1</formula>
    </cfRule>
    <cfRule type="expression" dxfId="1104" priority="462" stopIfTrue="1">
      <formula>OR(AND(ISNUMBER($C34),$C34=0),$C34=2,$C34=3,$C34=4)</formula>
    </cfRule>
  </conditionalFormatting>
  <conditionalFormatting sqref="M43:M51">
    <cfRule type="cellIs" dxfId="1103" priority="429" stopIfTrue="1" operator="notEqual">
      <formula>$N43</formula>
    </cfRule>
  </conditionalFormatting>
  <conditionalFormatting sqref="N43:O51 R43:R51 W43:X51">
    <cfRule type="expression" dxfId="1102" priority="430" stopIfTrue="1">
      <formula>$C43=1</formula>
    </cfRule>
    <cfRule type="expression" dxfId="1101" priority="431" stopIfTrue="1">
      <formula>OR($C43=0,$C43=2,$C43=3,$C43=4)</formula>
    </cfRule>
  </conditionalFormatting>
  <conditionalFormatting sqref="U43:V51">
    <cfRule type="expression" dxfId="1100" priority="432" stopIfTrue="1">
      <formula>$C43=1</formula>
    </cfRule>
    <cfRule type="expression" dxfId="1099" priority="433" stopIfTrue="1">
      <formula>OR($C43=0,$C43=2,$C43=3,$C43=4)</formula>
    </cfRule>
    <cfRule type="expression" dxfId="1098" priority="434" stopIfTrue="1">
      <formula>AND(TIPOORCAMENTO="Licitado",$C43&lt;&gt;"L",$C43&lt;&gt;-1)</formula>
    </cfRule>
  </conditionalFormatting>
  <conditionalFormatting sqref="P43:Q45 S43:T51 Y43:Y51 AG43:AH51 P46:P51">
    <cfRule type="expression" dxfId="1097" priority="435" stopIfTrue="1">
      <formula>$C43=1</formula>
    </cfRule>
    <cfRule type="expression" dxfId="1096" priority="436" stopIfTrue="1">
      <formula>OR($C43=0,$C43=2,$C43=3,$C43=4)</formula>
    </cfRule>
  </conditionalFormatting>
  <conditionalFormatting sqref="AJ43:AJ51">
    <cfRule type="expression" dxfId="1095" priority="437" stopIfTrue="1">
      <formula>OR(ACOMPANHAMENTO&lt;&gt;"BM",TIPOORCAMENTO="Licitado")</formula>
    </cfRule>
    <cfRule type="expression" dxfId="1094" priority="438" stopIfTrue="1">
      <formula>$C43=1</formula>
    </cfRule>
    <cfRule type="expression" dxfId="1093" priority="439" stopIfTrue="1">
      <formula>OR(AND(ISNUMBER($C43),$C43=0),$C43=2,$C43=3,$C43=4)</formula>
    </cfRule>
  </conditionalFormatting>
  <conditionalFormatting sqref="AL43:AL51">
    <cfRule type="expression" dxfId="1092" priority="440" stopIfTrue="1">
      <formula>TIPOORCAMENTO="PROPOSTO"</formula>
    </cfRule>
    <cfRule type="expression" dxfId="1091" priority="441" stopIfTrue="1">
      <formula>$C43=1</formula>
    </cfRule>
    <cfRule type="expression" dxfId="1090" priority="442" stopIfTrue="1">
      <formula>OR(AND(ISNUMBER($C43),$C43=0),$C43=2,$C43=3,$C43=4)</formula>
    </cfRule>
  </conditionalFormatting>
  <conditionalFormatting sqref="AM43:AN51">
    <cfRule type="expression" dxfId="1089" priority="443" stopIfTrue="1">
      <formula>TIPOORCAMENTO="PROPOSTO"</formula>
    </cfRule>
    <cfRule type="expression" dxfId="1088" priority="444" stopIfTrue="1">
      <formula>$C43=1</formula>
    </cfRule>
    <cfRule type="expression" dxfId="1087" priority="445" stopIfTrue="1">
      <formula>OR(AND(ISNUMBER($C43),$C43=0),$C43=2,$C43=3,$C43=4)</formula>
    </cfRule>
  </conditionalFormatting>
  <conditionalFormatting sqref="M52:M60">
    <cfRule type="cellIs" dxfId="1086" priority="412" stopIfTrue="1" operator="notEqual">
      <formula>$N52</formula>
    </cfRule>
  </conditionalFormatting>
  <conditionalFormatting sqref="N52:O60 R52:R60 W52:X60">
    <cfRule type="expression" dxfId="1085" priority="413" stopIfTrue="1">
      <formula>$C52=1</formula>
    </cfRule>
    <cfRule type="expression" dxfId="1084" priority="414" stopIfTrue="1">
      <formula>OR($C52=0,$C52=2,$C52=3,$C52=4)</formula>
    </cfRule>
  </conditionalFormatting>
  <conditionalFormatting sqref="U52:V60">
    <cfRule type="expression" dxfId="1083" priority="415" stopIfTrue="1">
      <formula>$C52=1</formula>
    </cfRule>
    <cfRule type="expression" dxfId="1082" priority="416" stopIfTrue="1">
      <formula>OR($C52=0,$C52=2,$C52=3,$C52=4)</formula>
    </cfRule>
    <cfRule type="expression" dxfId="1081" priority="417" stopIfTrue="1">
      <formula>AND(TIPOORCAMENTO="Licitado",$C52&lt;&gt;"L",$C52&lt;&gt;-1)</formula>
    </cfRule>
  </conditionalFormatting>
  <conditionalFormatting sqref="P55:Q60 S52:T60 Y52:Y60 AG52:AH60 P52:P54">
    <cfRule type="expression" dxfId="1080" priority="418" stopIfTrue="1">
      <formula>$C52=1</formula>
    </cfRule>
    <cfRule type="expression" dxfId="1079" priority="419" stopIfTrue="1">
      <formula>OR($C52=0,$C52=2,$C52=3,$C52=4)</formula>
    </cfRule>
  </conditionalFormatting>
  <conditionalFormatting sqref="AJ52:AJ60">
    <cfRule type="expression" dxfId="1078" priority="420" stopIfTrue="1">
      <formula>OR(ACOMPANHAMENTO&lt;&gt;"BM",TIPOORCAMENTO="Licitado")</formula>
    </cfRule>
    <cfRule type="expression" dxfId="1077" priority="421" stopIfTrue="1">
      <formula>$C52=1</formula>
    </cfRule>
    <cfRule type="expression" dxfId="1076" priority="422" stopIfTrue="1">
      <formula>OR(AND(ISNUMBER($C52),$C52=0),$C52=2,$C52=3,$C52=4)</formula>
    </cfRule>
  </conditionalFormatting>
  <conditionalFormatting sqref="AL52:AL60">
    <cfRule type="expression" dxfId="1075" priority="423" stopIfTrue="1">
      <formula>TIPOORCAMENTO="PROPOSTO"</formula>
    </cfRule>
    <cfRule type="expression" dxfId="1074" priority="424" stopIfTrue="1">
      <formula>$C52=1</formula>
    </cfRule>
    <cfRule type="expression" dxfId="1073" priority="425" stopIfTrue="1">
      <formula>OR(AND(ISNUMBER($C52),$C52=0),$C52=2,$C52=3,$C52=4)</formula>
    </cfRule>
  </conditionalFormatting>
  <conditionalFormatting sqref="AM52:AN60">
    <cfRule type="expression" dxfId="1072" priority="426" stopIfTrue="1">
      <formula>TIPOORCAMENTO="PROPOSTO"</formula>
    </cfRule>
    <cfRule type="expression" dxfId="1071" priority="427" stopIfTrue="1">
      <formula>$C52=1</formula>
    </cfRule>
    <cfRule type="expression" dxfId="1070" priority="428" stopIfTrue="1">
      <formula>OR(AND(ISNUMBER($C52),$C52=0),$C52=2,$C52=3,$C52=4)</formula>
    </cfRule>
  </conditionalFormatting>
  <conditionalFormatting sqref="M61:M69">
    <cfRule type="cellIs" dxfId="1069" priority="395" stopIfTrue="1" operator="notEqual">
      <formula>$N61</formula>
    </cfRule>
  </conditionalFormatting>
  <conditionalFormatting sqref="N61:O69 R61:R69 W61:X69">
    <cfRule type="expression" dxfId="1068" priority="396" stopIfTrue="1">
      <formula>$C61=1</formula>
    </cfRule>
    <cfRule type="expression" dxfId="1067" priority="397" stopIfTrue="1">
      <formula>OR($C61=0,$C61=2,$C61=3,$C61=4)</formula>
    </cfRule>
  </conditionalFormatting>
  <conditionalFormatting sqref="U61:V69">
    <cfRule type="expression" dxfId="1066" priority="398" stopIfTrue="1">
      <formula>$C61=1</formula>
    </cfRule>
    <cfRule type="expression" dxfId="1065" priority="399" stopIfTrue="1">
      <formula>OR($C61=0,$C61=2,$C61=3,$C61=4)</formula>
    </cfRule>
    <cfRule type="expression" dxfId="1064" priority="400" stopIfTrue="1">
      <formula>AND(TIPOORCAMENTO="Licitado",$C61&lt;&gt;"L",$C61&lt;&gt;-1)</formula>
    </cfRule>
  </conditionalFormatting>
  <conditionalFormatting sqref="P61:Q69 S61:T69 Y61:Y69 AG61:AH69">
    <cfRule type="expression" dxfId="1063" priority="401" stopIfTrue="1">
      <formula>$C61=1</formula>
    </cfRule>
    <cfRule type="expression" dxfId="1062" priority="402" stopIfTrue="1">
      <formula>OR($C61=0,$C61=2,$C61=3,$C61=4)</formula>
    </cfRule>
  </conditionalFormatting>
  <conditionalFormatting sqref="AJ61:AJ69">
    <cfRule type="expression" dxfId="1061" priority="403" stopIfTrue="1">
      <formula>OR(ACOMPANHAMENTO&lt;&gt;"BM",TIPOORCAMENTO="Licitado")</formula>
    </cfRule>
    <cfRule type="expression" dxfId="1060" priority="404" stopIfTrue="1">
      <formula>$C61=1</formula>
    </cfRule>
    <cfRule type="expression" dxfId="1059" priority="405" stopIfTrue="1">
      <formula>OR(AND(ISNUMBER($C61),$C61=0),$C61=2,$C61=3,$C61=4)</formula>
    </cfRule>
  </conditionalFormatting>
  <conditionalFormatting sqref="AL61:AL69">
    <cfRule type="expression" dxfId="1058" priority="406" stopIfTrue="1">
      <formula>TIPOORCAMENTO="PROPOSTO"</formula>
    </cfRule>
    <cfRule type="expression" dxfId="1057" priority="407" stopIfTrue="1">
      <formula>$C61=1</formula>
    </cfRule>
    <cfRule type="expression" dxfId="1056" priority="408" stopIfTrue="1">
      <formula>OR(AND(ISNUMBER($C61),$C61=0),$C61=2,$C61=3,$C61=4)</formula>
    </cfRule>
  </conditionalFormatting>
  <conditionalFormatting sqref="AM61:AN69">
    <cfRule type="expression" dxfId="1055" priority="409" stopIfTrue="1">
      <formula>TIPOORCAMENTO="PROPOSTO"</formula>
    </cfRule>
    <cfRule type="expression" dxfId="1054" priority="410" stopIfTrue="1">
      <formula>$C61=1</formula>
    </cfRule>
    <cfRule type="expression" dxfId="1053" priority="411" stopIfTrue="1">
      <formula>OR(AND(ISNUMBER($C61),$C61=0),$C61=2,$C61=3,$C61=4)</formula>
    </cfRule>
  </conditionalFormatting>
  <conditionalFormatting sqref="M70:M78">
    <cfRule type="cellIs" dxfId="1052" priority="378" stopIfTrue="1" operator="notEqual">
      <formula>$N70</formula>
    </cfRule>
  </conditionalFormatting>
  <conditionalFormatting sqref="N70:O78 R70:R78 W70:X78">
    <cfRule type="expression" dxfId="1051" priority="379" stopIfTrue="1">
      <formula>$C70=1</formula>
    </cfRule>
    <cfRule type="expression" dxfId="1050" priority="380" stopIfTrue="1">
      <formula>OR($C70=0,$C70=2,$C70=3,$C70=4)</formula>
    </cfRule>
  </conditionalFormatting>
  <conditionalFormatting sqref="U70:V78">
    <cfRule type="expression" dxfId="1049" priority="381" stopIfTrue="1">
      <formula>$C70=1</formula>
    </cfRule>
    <cfRule type="expression" dxfId="1048" priority="382" stopIfTrue="1">
      <formula>OR($C70=0,$C70=2,$C70=3,$C70=4)</formula>
    </cfRule>
    <cfRule type="expression" dxfId="1047" priority="383" stopIfTrue="1">
      <formula>AND(TIPOORCAMENTO="Licitado",$C70&lt;&gt;"L",$C70&lt;&gt;-1)</formula>
    </cfRule>
  </conditionalFormatting>
  <conditionalFormatting sqref="P70:Q70 S70:T78 Y70:Y78 AG70:AH78 P71:P78">
    <cfRule type="expression" dxfId="1046" priority="384" stopIfTrue="1">
      <formula>$C70=1</formula>
    </cfRule>
    <cfRule type="expression" dxfId="1045" priority="385" stopIfTrue="1">
      <formula>OR($C70=0,$C70=2,$C70=3,$C70=4)</formula>
    </cfRule>
  </conditionalFormatting>
  <conditionalFormatting sqref="AJ70:AJ78">
    <cfRule type="expression" dxfId="1044" priority="386" stopIfTrue="1">
      <formula>OR(ACOMPANHAMENTO&lt;&gt;"BM",TIPOORCAMENTO="Licitado")</formula>
    </cfRule>
    <cfRule type="expression" dxfId="1043" priority="387" stopIfTrue="1">
      <formula>$C70=1</formula>
    </cfRule>
    <cfRule type="expression" dxfId="1042" priority="388" stopIfTrue="1">
      <formula>OR(AND(ISNUMBER($C70),$C70=0),$C70=2,$C70=3,$C70=4)</formula>
    </cfRule>
  </conditionalFormatting>
  <conditionalFormatting sqref="AL70:AL78">
    <cfRule type="expression" dxfId="1041" priority="389" stopIfTrue="1">
      <formula>TIPOORCAMENTO="PROPOSTO"</formula>
    </cfRule>
    <cfRule type="expression" dxfId="1040" priority="390" stopIfTrue="1">
      <formula>$C70=1</formula>
    </cfRule>
    <cfRule type="expression" dxfId="1039" priority="391" stopIfTrue="1">
      <formula>OR(AND(ISNUMBER($C70),$C70=0),$C70=2,$C70=3,$C70=4)</formula>
    </cfRule>
  </conditionalFormatting>
  <conditionalFormatting sqref="AM70:AN78">
    <cfRule type="expression" dxfId="1038" priority="392" stopIfTrue="1">
      <formula>TIPOORCAMENTO="PROPOSTO"</formula>
    </cfRule>
    <cfRule type="expression" dxfId="1037" priority="393" stopIfTrue="1">
      <formula>$C70=1</formula>
    </cfRule>
    <cfRule type="expression" dxfId="1036" priority="394" stopIfTrue="1">
      <formula>OR(AND(ISNUMBER($C70),$C70=0),$C70=2,$C70=3,$C70=4)</formula>
    </cfRule>
  </conditionalFormatting>
  <conditionalFormatting sqref="M79:M87">
    <cfRule type="cellIs" dxfId="1035" priority="361" stopIfTrue="1" operator="notEqual">
      <formula>$N79</formula>
    </cfRule>
  </conditionalFormatting>
  <conditionalFormatting sqref="N79:O87 R79:R87 W79:X87">
    <cfRule type="expression" dxfId="1034" priority="362" stopIfTrue="1">
      <formula>$C79=1</formula>
    </cfRule>
    <cfRule type="expression" dxfId="1033" priority="363" stopIfTrue="1">
      <formula>OR($C79=0,$C79=2,$C79=3,$C79=4)</formula>
    </cfRule>
  </conditionalFormatting>
  <conditionalFormatting sqref="U79:V87">
    <cfRule type="expression" dxfId="1032" priority="364" stopIfTrue="1">
      <formula>$C79=1</formula>
    </cfRule>
    <cfRule type="expression" dxfId="1031" priority="365" stopIfTrue="1">
      <formula>OR($C79=0,$C79=2,$C79=3,$C79=4)</formula>
    </cfRule>
    <cfRule type="expression" dxfId="1030" priority="366" stopIfTrue="1">
      <formula>AND(TIPOORCAMENTO="Licitado",$C79&lt;&gt;"L",$C79&lt;&gt;-1)</formula>
    </cfRule>
  </conditionalFormatting>
  <conditionalFormatting sqref="P82:Q87 S79:T87 Y79:Y87 AG79:AH87 P79:P81">
    <cfRule type="expression" dxfId="1029" priority="367" stopIfTrue="1">
      <formula>$C79=1</formula>
    </cfRule>
    <cfRule type="expression" dxfId="1028" priority="368" stopIfTrue="1">
      <formula>OR($C79=0,$C79=2,$C79=3,$C79=4)</formula>
    </cfRule>
  </conditionalFormatting>
  <conditionalFormatting sqref="AJ79:AJ87">
    <cfRule type="expression" dxfId="1027" priority="369" stopIfTrue="1">
      <formula>OR(ACOMPANHAMENTO&lt;&gt;"BM",TIPOORCAMENTO="Licitado")</formula>
    </cfRule>
    <cfRule type="expression" dxfId="1026" priority="370" stopIfTrue="1">
      <formula>$C79=1</formula>
    </cfRule>
    <cfRule type="expression" dxfId="1025" priority="371" stopIfTrue="1">
      <formula>OR(AND(ISNUMBER($C79),$C79=0),$C79=2,$C79=3,$C79=4)</formula>
    </cfRule>
  </conditionalFormatting>
  <conditionalFormatting sqref="AL79:AL87">
    <cfRule type="expression" dxfId="1024" priority="372" stopIfTrue="1">
      <formula>TIPOORCAMENTO="PROPOSTO"</formula>
    </cfRule>
    <cfRule type="expression" dxfId="1023" priority="373" stopIfTrue="1">
      <formula>$C79=1</formula>
    </cfRule>
    <cfRule type="expression" dxfId="1022" priority="374" stopIfTrue="1">
      <formula>OR(AND(ISNUMBER($C79),$C79=0),$C79=2,$C79=3,$C79=4)</formula>
    </cfRule>
  </conditionalFormatting>
  <conditionalFormatting sqref="AM79:AN87">
    <cfRule type="expression" dxfId="1021" priority="375" stopIfTrue="1">
      <formula>TIPOORCAMENTO="PROPOSTO"</formula>
    </cfRule>
    <cfRule type="expression" dxfId="1020" priority="376" stopIfTrue="1">
      <formula>$C79=1</formula>
    </cfRule>
    <cfRule type="expression" dxfId="1019" priority="377" stopIfTrue="1">
      <formula>OR(AND(ISNUMBER($C79),$C79=0),$C79=2,$C79=3,$C79=4)</formula>
    </cfRule>
  </conditionalFormatting>
  <conditionalFormatting sqref="M88:M96">
    <cfRule type="cellIs" dxfId="1018" priority="344" stopIfTrue="1" operator="notEqual">
      <formula>$N88</formula>
    </cfRule>
  </conditionalFormatting>
  <conditionalFormatting sqref="N88:O96 R88:R96 W88:X96">
    <cfRule type="expression" dxfId="1017" priority="345" stopIfTrue="1">
      <formula>$C88=1</formula>
    </cfRule>
    <cfRule type="expression" dxfId="1016" priority="346" stopIfTrue="1">
      <formula>OR($C88=0,$C88=2,$C88=3,$C88=4)</formula>
    </cfRule>
  </conditionalFormatting>
  <conditionalFormatting sqref="U88:V96">
    <cfRule type="expression" dxfId="1015" priority="347" stopIfTrue="1">
      <formula>$C88=1</formula>
    </cfRule>
    <cfRule type="expression" dxfId="1014" priority="348" stopIfTrue="1">
      <formula>OR($C88=0,$C88=2,$C88=3,$C88=4)</formula>
    </cfRule>
    <cfRule type="expression" dxfId="1013" priority="349" stopIfTrue="1">
      <formula>AND(TIPOORCAMENTO="Licitado",$C88&lt;&gt;"L",$C88&lt;&gt;-1)</formula>
    </cfRule>
  </conditionalFormatting>
  <conditionalFormatting sqref="P88:Q96 S88:T96 Y88:Y96 AG88:AH96">
    <cfRule type="expression" dxfId="1012" priority="350" stopIfTrue="1">
      <formula>$C88=1</formula>
    </cfRule>
    <cfRule type="expression" dxfId="1011" priority="351" stopIfTrue="1">
      <formula>OR($C88=0,$C88=2,$C88=3,$C88=4)</formula>
    </cfRule>
  </conditionalFormatting>
  <conditionalFormatting sqref="AJ88:AJ96">
    <cfRule type="expression" dxfId="1010" priority="352" stopIfTrue="1">
      <formula>OR(ACOMPANHAMENTO&lt;&gt;"BM",TIPOORCAMENTO="Licitado")</formula>
    </cfRule>
    <cfRule type="expression" dxfId="1009" priority="353" stopIfTrue="1">
      <formula>$C88=1</formula>
    </cfRule>
    <cfRule type="expression" dxfId="1008" priority="354" stopIfTrue="1">
      <formula>OR(AND(ISNUMBER($C88),$C88=0),$C88=2,$C88=3,$C88=4)</formula>
    </cfRule>
  </conditionalFormatting>
  <conditionalFormatting sqref="AL88:AL96">
    <cfRule type="expression" dxfId="1007" priority="355" stopIfTrue="1">
      <formula>TIPOORCAMENTO="PROPOSTO"</formula>
    </cfRule>
    <cfRule type="expression" dxfId="1006" priority="356" stopIfTrue="1">
      <formula>$C88=1</formula>
    </cfRule>
    <cfRule type="expression" dxfId="1005" priority="357" stopIfTrue="1">
      <formula>OR(AND(ISNUMBER($C88),$C88=0),$C88=2,$C88=3,$C88=4)</formula>
    </cfRule>
  </conditionalFormatting>
  <conditionalFormatting sqref="AM88:AN96">
    <cfRule type="expression" dxfId="1004" priority="358" stopIfTrue="1">
      <formula>TIPOORCAMENTO="PROPOSTO"</formula>
    </cfRule>
    <cfRule type="expression" dxfId="1003" priority="359" stopIfTrue="1">
      <formula>$C88=1</formula>
    </cfRule>
    <cfRule type="expression" dxfId="1002" priority="360" stopIfTrue="1">
      <formula>OR(AND(ISNUMBER($C88),$C88=0),$C88=2,$C88=3,$C88=4)</formula>
    </cfRule>
  </conditionalFormatting>
  <conditionalFormatting sqref="M97:M105">
    <cfRule type="cellIs" dxfId="1001" priority="327" stopIfTrue="1" operator="notEqual">
      <formula>$N97</formula>
    </cfRule>
  </conditionalFormatting>
  <conditionalFormatting sqref="N97:O105 R97:R105 W97:X105">
    <cfRule type="expression" dxfId="1000" priority="328" stopIfTrue="1">
      <formula>$C97=1</formula>
    </cfRule>
    <cfRule type="expression" dxfId="999" priority="329" stopIfTrue="1">
      <formula>OR($C97=0,$C97=2,$C97=3,$C97=4)</formula>
    </cfRule>
  </conditionalFormatting>
  <conditionalFormatting sqref="U97:V105">
    <cfRule type="expression" dxfId="998" priority="330" stopIfTrue="1">
      <formula>$C97=1</formula>
    </cfRule>
    <cfRule type="expression" dxfId="997" priority="331" stopIfTrue="1">
      <formula>OR($C97=0,$C97=2,$C97=3,$C97=4)</formula>
    </cfRule>
    <cfRule type="expression" dxfId="996" priority="332" stopIfTrue="1">
      <formula>AND(TIPOORCAMENTO="Licitado",$C97&lt;&gt;"L",$C97&lt;&gt;-1)</formula>
    </cfRule>
  </conditionalFormatting>
  <conditionalFormatting sqref="P97:Q105 S97:T105 Y97:Y105 AG97:AH105">
    <cfRule type="expression" dxfId="995" priority="333" stopIfTrue="1">
      <formula>$C97=1</formula>
    </cfRule>
    <cfRule type="expression" dxfId="994" priority="334" stopIfTrue="1">
      <formula>OR($C97=0,$C97=2,$C97=3,$C97=4)</formula>
    </cfRule>
  </conditionalFormatting>
  <conditionalFormatting sqref="AJ97:AJ105">
    <cfRule type="expression" dxfId="993" priority="335" stopIfTrue="1">
      <formula>OR(ACOMPANHAMENTO&lt;&gt;"BM",TIPOORCAMENTO="Licitado")</formula>
    </cfRule>
    <cfRule type="expression" dxfId="992" priority="336" stopIfTrue="1">
      <formula>$C97=1</formula>
    </cfRule>
    <cfRule type="expression" dxfId="991" priority="337" stopIfTrue="1">
      <formula>OR(AND(ISNUMBER($C97),$C97=0),$C97=2,$C97=3,$C97=4)</formula>
    </cfRule>
  </conditionalFormatting>
  <conditionalFormatting sqref="AL97:AL105">
    <cfRule type="expression" dxfId="990" priority="338" stopIfTrue="1">
      <formula>TIPOORCAMENTO="PROPOSTO"</formula>
    </cfRule>
    <cfRule type="expression" dxfId="989" priority="339" stopIfTrue="1">
      <formula>$C97=1</formula>
    </cfRule>
    <cfRule type="expression" dxfId="988" priority="340" stopIfTrue="1">
      <formula>OR(AND(ISNUMBER($C97),$C97=0),$C97=2,$C97=3,$C97=4)</formula>
    </cfRule>
  </conditionalFormatting>
  <conditionalFormatting sqref="AM97:AN105">
    <cfRule type="expression" dxfId="987" priority="341" stopIfTrue="1">
      <formula>TIPOORCAMENTO="PROPOSTO"</formula>
    </cfRule>
    <cfRule type="expression" dxfId="986" priority="342" stopIfTrue="1">
      <formula>$C97=1</formula>
    </cfRule>
    <cfRule type="expression" dxfId="985" priority="343" stopIfTrue="1">
      <formula>OR(AND(ISNUMBER($C97),$C97=0),$C97=2,$C97=3,$C97=4)</formula>
    </cfRule>
  </conditionalFormatting>
  <conditionalFormatting sqref="M106:M114">
    <cfRule type="cellIs" dxfId="984" priority="310" stopIfTrue="1" operator="notEqual">
      <formula>$N106</formula>
    </cfRule>
  </conditionalFormatting>
  <conditionalFormatting sqref="N106:O114 R106:R114 W106:X114">
    <cfRule type="expression" dxfId="983" priority="311" stopIfTrue="1">
      <formula>$C106=1</formula>
    </cfRule>
    <cfRule type="expression" dxfId="982" priority="312" stopIfTrue="1">
      <formula>OR($C106=0,$C106=2,$C106=3,$C106=4)</formula>
    </cfRule>
  </conditionalFormatting>
  <conditionalFormatting sqref="U106:V114">
    <cfRule type="expression" dxfId="981" priority="313" stopIfTrue="1">
      <formula>$C106=1</formula>
    </cfRule>
    <cfRule type="expression" dxfId="980" priority="314" stopIfTrue="1">
      <formula>OR($C106=0,$C106=2,$C106=3,$C106=4)</formula>
    </cfRule>
    <cfRule type="expression" dxfId="979" priority="315" stopIfTrue="1">
      <formula>AND(TIPOORCAMENTO="Licitado",$C106&lt;&gt;"L",$C106&lt;&gt;-1)</formula>
    </cfRule>
  </conditionalFormatting>
  <conditionalFormatting sqref="P106:Q114 S106:T114 Y106:Y114 AG106:AH114">
    <cfRule type="expression" dxfId="978" priority="316" stopIfTrue="1">
      <formula>$C106=1</formula>
    </cfRule>
    <cfRule type="expression" dxfId="977" priority="317" stopIfTrue="1">
      <formula>OR($C106=0,$C106=2,$C106=3,$C106=4)</formula>
    </cfRule>
  </conditionalFormatting>
  <conditionalFormatting sqref="AJ106:AJ114">
    <cfRule type="expression" dxfId="976" priority="318" stopIfTrue="1">
      <formula>OR(ACOMPANHAMENTO&lt;&gt;"BM",TIPOORCAMENTO="Licitado")</formula>
    </cfRule>
    <cfRule type="expression" dxfId="975" priority="319" stopIfTrue="1">
      <formula>$C106=1</formula>
    </cfRule>
    <cfRule type="expression" dxfId="974" priority="320" stopIfTrue="1">
      <formula>OR(AND(ISNUMBER($C106),$C106=0),$C106=2,$C106=3,$C106=4)</formula>
    </cfRule>
  </conditionalFormatting>
  <conditionalFormatting sqref="AL106:AL114">
    <cfRule type="expression" dxfId="973" priority="321" stopIfTrue="1">
      <formula>TIPOORCAMENTO="PROPOSTO"</formula>
    </cfRule>
    <cfRule type="expression" dxfId="972" priority="322" stopIfTrue="1">
      <formula>$C106=1</formula>
    </cfRule>
    <cfRule type="expression" dxfId="971" priority="323" stopIfTrue="1">
      <formula>OR(AND(ISNUMBER($C106),$C106=0),$C106=2,$C106=3,$C106=4)</formula>
    </cfRule>
  </conditionalFormatting>
  <conditionalFormatting sqref="AM106:AN114">
    <cfRule type="expression" dxfId="970" priority="324" stopIfTrue="1">
      <formula>TIPOORCAMENTO="PROPOSTO"</formula>
    </cfRule>
    <cfRule type="expression" dxfId="969" priority="325" stopIfTrue="1">
      <formula>$C106=1</formula>
    </cfRule>
    <cfRule type="expression" dxfId="968" priority="326" stopIfTrue="1">
      <formula>OR(AND(ISNUMBER($C106),$C106=0),$C106=2,$C106=3,$C106=4)</formula>
    </cfRule>
  </conditionalFormatting>
  <conditionalFormatting sqref="M115:M123">
    <cfRule type="cellIs" dxfId="967" priority="293" stopIfTrue="1" operator="notEqual">
      <formula>$N115</formula>
    </cfRule>
  </conditionalFormatting>
  <conditionalFormatting sqref="N115:O123 R115:R123 W115:X123">
    <cfRule type="expression" dxfId="966" priority="294" stopIfTrue="1">
      <formula>$C115=1</formula>
    </cfRule>
    <cfRule type="expression" dxfId="965" priority="295" stopIfTrue="1">
      <formula>OR($C115=0,$C115=2,$C115=3,$C115=4)</formula>
    </cfRule>
  </conditionalFormatting>
  <conditionalFormatting sqref="U115:V123">
    <cfRule type="expression" dxfId="964" priority="296" stopIfTrue="1">
      <formula>$C115=1</formula>
    </cfRule>
    <cfRule type="expression" dxfId="963" priority="297" stopIfTrue="1">
      <formula>OR($C115=0,$C115=2,$C115=3,$C115=4)</formula>
    </cfRule>
    <cfRule type="expression" dxfId="962" priority="298" stopIfTrue="1">
      <formula>AND(TIPOORCAMENTO="Licitado",$C115&lt;&gt;"L",$C115&lt;&gt;-1)</formula>
    </cfRule>
  </conditionalFormatting>
  <conditionalFormatting sqref="P115:Q123 S115:T123 Y115:Y123 AG115:AH123">
    <cfRule type="expression" dxfId="961" priority="299" stopIfTrue="1">
      <formula>$C115=1</formula>
    </cfRule>
    <cfRule type="expression" dxfId="960" priority="300" stopIfTrue="1">
      <formula>OR($C115=0,$C115=2,$C115=3,$C115=4)</formula>
    </cfRule>
  </conditionalFormatting>
  <conditionalFormatting sqref="AJ115:AJ123">
    <cfRule type="expression" dxfId="959" priority="301" stopIfTrue="1">
      <formula>OR(ACOMPANHAMENTO&lt;&gt;"BM",TIPOORCAMENTO="Licitado")</formula>
    </cfRule>
    <cfRule type="expression" dxfId="958" priority="302" stopIfTrue="1">
      <formula>$C115=1</formula>
    </cfRule>
    <cfRule type="expression" dxfId="957" priority="303" stopIfTrue="1">
      <formula>OR(AND(ISNUMBER($C115),$C115=0),$C115=2,$C115=3,$C115=4)</formula>
    </cfRule>
  </conditionalFormatting>
  <conditionalFormatting sqref="AL115:AL123">
    <cfRule type="expression" dxfId="956" priority="304" stopIfTrue="1">
      <formula>TIPOORCAMENTO="PROPOSTO"</formula>
    </cfRule>
    <cfRule type="expression" dxfId="955" priority="305" stopIfTrue="1">
      <formula>$C115=1</formula>
    </cfRule>
    <cfRule type="expression" dxfId="954" priority="306" stopIfTrue="1">
      <formula>OR(AND(ISNUMBER($C115),$C115=0),$C115=2,$C115=3,$C115=4)</formula>
    </cfRule>
  </conditionalFormatting>
  <conditionalFormatting sqref="AM115:AN123">
    <cfRule type="expression" dxfId="953" priority="307" stopIfTrue="1">
      <formula>TIPOORCAMENTO="PROPOSTO"</formula>
    </cfRule>
    <cfRule type="expression" dxfId="952" priority="308" stopIfTrue="1">
      <formula>$C115=1</formula>
    </cfRule>
    <cfRule type="expression" dxfId="951" priority="309" stopIfTrue="1">
      <formula>OR(AND(ISNUMBER($C115),$C115=0),$C115=2,$C115=3,$C115=4)</formula>
    </cfRule>
  </conditionalFormatting>
  <conditionalFormatting sqref="M124:M132">
    <cfRule type="cellIs" dxfId="950" priority="276" stopIfTrue="1" operator="notEqual">
      <formula>$N124</formula>
    </cfRule>
  </conditionalFormatting>
  <conditionalFormatting sqref="N124:O132 R124:R132 W124:X132">
    <cfRule type="expression" dxfId="949" priority="277" stopIfTrue="1">
      <formula>$C124=1</formula>
    </cfRule>
    <cfRule type="expression" dxfId="948" priority="278" stopIfTrue="1">
      <formula>OR($C124=0,$C124=2,$C124=3,$C124=4)</formula>
    </cfRule>
  </conditionalFormatting>
  <conditionalFormatting sqref="U124:V132">
    <cfRule type="expression" dxfId="947" priority="279" stopIfTrue="1">
      <formula>$C124=1</formula>
    </cfRule>
    <cfRule type="expression" dxfId="946" priority="280" stopIfTrue="1">
      <formula>OR($C124=0,$C124=2,$C124=3,$C124=4)</formula>
    </cfRule>
    <cfRule type="expression" dxfId="945" priority="281" stopIfTrue="1">
      <formula>AND(TIPOORCAMENTO="Licitado",$C124&lt;&gt;"L",$C124&lt;&gt;-1)</formula>
    </cfRule>
  </conditionalFormatting>
  <conditionalFormatting sqref="P124:Q132 S124:T132 Y124:Y132 AG124:AH132">
    <cfRule type="expression" dxfId="944" priority="282" stopIfTrue="1">
      <formula>$C124=1</formula>
    </cfRule>
    <cfRule type="expression" dxfId="943" priority="283" stopIfTrue="1">
      <formula>OR($C124=0,$C124=2,$C124=3,$C124=4)</formula>
    </cfRule>
  </conditionalFormatting>
  <conditionalFormatting sqref="AJ124:AJ132">
    <cfRule type="expression" dxfId="942" priority="284" stopIfTrue="1">
      <formula>OR(ACOMPANHAMENTO&lt;&gt;"BM",TIPOORCAMENTO="Licitado")</formula>
    </cfRule>
    <cfRule type="expression" dxfId="941" priority="285" stopIfTrue="1">
      <formula>$C124=1</formula>
    </cfRule>
    <cfRule type="expression" dxfId="940" priority="286" stopIfTrue="1">
      <formula>OR(AND(ISNUMBER($C124),$C124=0),$C124=2,$C124=3,$C124=4)</formula>
    </cfRule>
  </conditionalFormatting>
  <conditionalFormatting sqref="AL124:AL132">
    <cfRule type="expression" dxfId="939" priority="287" stopIfTrue="1">
      <formula>TIPOORCAMENTO="PROPOSTO"</formula>
    </cfRule>
    <cfRule type="expression" dxfId="938" priority="288" stopIfTrue="1">
      <formula>$C124=1</formula>
    </cfRule>
    <cfRule type="expression" dxfId="937" priority="289" stopIfTrue="1">
      <formula>OR(AND(ISNUMBER($C124),$C124=0),$C124=2,$C124=3,$C124=4)</formula>
    </cfRule>
  </conditionalFormatting>
  <conditionalFormatting sqref="AM124:AN132">
    <cfRule type="expression" dxfId="936" priority="290" stopIfTrue="1">
      <formula>TIPOORCAMENTO="PROPOSTO"</formula>
    </cfRule>
    <cfRule type="expression" dxfId="935" priority="291" stopIfTrue="1">
      <formula>$C124=1</formula>
    </cfRule>
    <cfRule type="expression" dxfId="934" priority="292" stopIfTrue="1">
      <formula>OR(AND(ISNUMBER($C124),$C124=0),$C124=2,$C124=3,$C124=4)</formula>
    </cfRule>
  </conditionalFormatting>
  <conditionalFormatting sqref="M133:M141">
    <cfRule type="cellIs" dxfId="933" priority="259" stopIfTrue="1" operator="notEqual">
      <formula>$N133</formula>
    </cfRule>
  </conditionalFormatting>
  <conditionalFormatting sqref="N133:O141 R133:R141 W133:X141">
    <cfRule type="expression" dxfId="932" priority="260" stopIfTrue="1">
      <formula>$C133=1</formula>
    </cfRule>
    <cfRule type="expression" dxfId="931" priority="261" stopIfTrue="1">
      <formula>OR($C133=0,$C133=2,$C133=3,$C133=4)</formula>
    </cfRule>
  </conditionalFormatting>
  <conditionalFormatting sqref="U133:V141">
    <cfRule type="expression" dxfId="930" priority="262" stopIfTrue="1">
      <formula>$C133=1</formula>
    </cfRule>
    <cfRule type="expression" dxfId="929" priority="263" stopIfTrue="1">
      <formula>OR($C133=0,$C133=2,$C133=3,$C133=4)</formula>
    </cfRule>
    <cfRule type="expression" dxfId="928" priority="264" stopIfTrue="1">
      <formula>AND(TIPOORCAMENTO="Licitado",$C133&lt;&gt;"L",$C133&lt;&gt;-1)</formula>
    </cfRule>
  </conditionalFormatting>
  <conditionalFormatting sqref="P133:Q141 S133:T141 Y133:Y141 AG133:AH141">
    <cfRule type="expression" dxfId="927" priority="265" stopIfTrue="1">
      <formula>$C133=1</formula>
    </cfRule>
    <cfRule type="expression" dxfId="926" priority="266" stopIfTrue="1">
      <formula>OR($C133=0,$C133=2,$C133=3,$C133=4)</formula>
    </cfRule>
  </conditionalFormatting>
  <conditionalFormatting sqref="AJ133:AJ141">
    <cfRule type="expression" dxfId="925" priority="267" stopIfTrue="1">
      <formula>OR(ACOMPANHAMENTO&lt;&gt;"BM",TIPOORCAMENTO="Licitado")</formula>
    </cfRule>
    <cfRule type="expression" dxfId="924" priority="268" stopIfTrue="1">
      <formula>$C133=1</formula>
    </cfRule>
    <cfRule type="expression" dxfId="923" priority="269" stopIfTrue="1">
      <formula>OR(AND(ISNUMBER($C133),$C133=0),$C133=2,$C133=3,$C133=4)</formula>
    </cfRule>
  </conditionalFormatting>
  <conditionalFormatting sqref="AL133:AL141">
    <cfRule type="expression" dxfId="922" priority="270" stopIfTrue="1">
      <formula>TIPOORCAMENTO="PROPOSTO"</formula>
    </cfRule>
    <cfRule type="expression" dxfId="921" priority="271" stopIfTrue="1">
      <formula>$C133=1</formula>
    </cfRule>
    <cfRule type="expression" dxfId="920" priority="272" stopIfTrue="1">
      <formula>OR(AND(ISNUMBER($C133),$C133=0),$C133=2,$C133=3,$C133=4)</formula>
    </cfRule>
  </conditionalFormatting>
  <conditionalFormatting sqref="AM133:AN141">
    <cfRule type="expression" dxfId="919" priority="273" stopIfTrue="1">
      <formula>TIPOORCAMENTO="PROPOSTO"</formula>
    </cfRule>
    <cfRule type="expression" dxfId="918" priority="274" stopIfTrue="1">
      <formula>$C133=1</formula>
    </cfRule>
    <cfRule type="expression" dxfId="917" priority="275" stopIfTrue="1">
      <formula>OR(AND(ISNUMBER($C133),$C133=0),$C133=2,$C133=3,$C133=4)</formula>
    </cfRule>
  </conditionalFormatting>
  <conditionalFormatting sqref="M142:M150">
    <cfRule type="cellIs" dxfId="916" priority="242" stopIfTrue="1" operator="notEqual">
      <formula>$N142</formula>
    </cfRule>
  </conditionalFormatting>
  <conditionalFormatting sqref="N142:O150 R142:R150 W142:X150">
    <cfRule type="expression" dxfId="915" priority="243" stopIfTrue="1">
      <formula>$C142=1</formula>
    </cfRule>
    <cfRule type="expression" dxfId="914" priority="244" stopIfTrue="1">
      <formula>OR($C142=0,$C142=2,$C142=3,$C142=4)</formula>
    </cfRule>
  </conditionalFormatting>
  <conditionalFormatting sqref="U142:V150">
    <cfRule type="expression" dxfId="913" priority="245" stopIfTrue="1">
      <formula>$C142=1</formula>
    </cfRule>
    <cfRule type="expression" dxfId="912" priority="246" stopIfTrue="1">
      <formula>OR($C142=0,$C142=2,$C142=3,$C142=4)</formula>
    </cfRule>
    <cfRule type="expression" dxfId="911" priority="247" stopIfTrue="1">
      <formula>AND(TIPOORCAMENTO="Licitado",$C142&lt;&gt;"L",$C142&lt;&gt;-1)</formula>
    </cfRule>
  </conditionalFormatting>
  <conditionalFormatting sqref="P142:Q150 S142:T150 Y142:Y150 AG142:AH150">
    <cfRule type="expression" dxfId="910" priority="248" stopIfTrue="1">
      <formula>$C142=1</formula>
    </cfRule>
    <cfRule type="expression" dxfId="909" priority="249" stopIfTrue="1">
      <formula>OR($C142=0,$C142=2,$C142=3,$C142=4)</formula>
    </cfRule>
  </conditionalFormatting>
  <conditionalFormatting sqref="AJ142:AJ150">
    <cfRule type="expression" dxfId="908" priority="250" stopIfTrue="1">
      <formula>OR(ACOMPANHAMENTO&lt;&gt;"BM",TIPOORCAMENTO="Licitado")</formula>
    </cfRule>
    <cfRule type="expression" dxfId="907" priority="251" stopIfTrue="1">
      <formula>$C142=1</formula>
    </cfRule>
    <cfRule type="expression" dxfId="906" priority="252" stopIfTrue="1">
      <formula>OR(AND(ISNUMBER($C142),$C142=0),$C142=2,$C142=3,$C142=4)</formula>
    </cfRule>
  </conditionalFormatting>
  <conditionalFormatting sqref="AL142:AL150">
    <cfRule type="expression" dxfId="905" priority="253" stopIfTrue="1">
      <formula>TIPOORCAMENTO="PROPOSTO"</formula>
    </cfRule>
    <cfRule type="expression" dxfId="904" priority="254" stopIfTrue="1">
      <formula>$C142=1</formula>
    </cfRule>
    <cfRule type="expression" dxfId="903" priority="255" stopIfTrue="1">
      <formula>OR(AND(ISNUMBER($C142),$C142=0),$C142=2,$C142=3,$C142=4)</formula>
    </cfRule>
  </conditionalFormatting>
  <conditionalFormatting sqref="AM142:AN150">
    <cfRule type="expression" dxfId="902" priority="256" stopIfTrue="1">
      <formula>TIPOORCAMENTO="PROPOSTO"</formula>
    </cfRule>
    <cfRule type="expression" dxfId="901" priority="257" stopIfTrue="1">
      <formula>$C142=1</formula>
    </cfRule>
    <cfRule type="expression" dxfId="900" priority="258" stopIfTrue="1">
      <formula>OR(AND(ISNUMBER($C142),$C142=0),$C142=2,$C142=3,$C142=4)</formula>
    </cfRule>
  </conditionalFormatting>
  <conditionalFormatting sqref="M151:M159">
    <cfRule type="cellIs" dxfId="899" priority="225" stopIfTrue="1" operator="notEqual">
      <formula>$N151</formula>
    </cfRule>
  </conditionalFormatting>
  <conditionalFormatting sqref="N151:O159 R151:R159 W151:X159">
    <cfRule type="expression" dxfId="898" priority="226" stopIfTrue="1">
      <formula>$C151=1</formula>
    </cfRule>
    <cfRule type="expression" dxfId="897" priority="227" stopIfTrue="1">
      <formula>OR($C151=0,$C151=2,$C151=3,$C151=4)</formula>
    </cfRule>
  </conditionalFormatting>
  <conditionalFormatting sqref="U151:V159">
    <cfRule type="expression" dxfId="896" priority="228" stopIfTrue="1">
      <formula>$C151=1</formula>
    </cfRule>
    <cfRule type="expression" dxfId="895" priority="229" stopIfTrue="1">
      <formula>OR($C151=0,$C151=2,$C151=3,$C151=4)</formula>
    </cfRule>
    <cfRule type="expression" dxfId="894" priority="230" stopIfTrue="1">
      <formula>AND(TIPOORCAMENTO="Licitado",$C151&lt;&gt;"L",$C151&lt;&gt;-1)</formula>
    </cfRule>
  </conditionalFormatting>
  <conditionalFormatting sqref="P151:Q159 S151:T159 Y151:Y159 AG151:AH159">
    <cfRule type="expression" dxfId="893" priority="231" stopIfTrue="1">
      <formula>$C151=1</formula>
    </cfRule>
    <cfRule type="expression" dxfId="892" priority="232" stopIfTrue="1">
      <formula>OR($C151=0,$C151=2,$C151=3,$C151=4)</formula>
    </cfRule>
  </conditionalFormatting>
  <conditionalFormatting sqref="AJ151:AJ159">
    <cfRule type="expression" dxfId="891" priority="233" stopIfTrue="1">
      <formula>OR(ACOMPANHAMENTO&lt;&gt;"BM",TIPOORCAMENTO="Licitado")</formula>
    </cfRule>
    <cfRule type="expression" dxfId="890" priority="234" stopIfTrue="1">
      <formula>$C151=1</formula>
    </cfRule>
    <cfRule type="expression" dxfId="889" priority="235" stopIfTrue="1">
      <formula>OR(AND(ISNUMBER($C151),$C151=0),$C151=2,$C151=3,$C151=4)</formula>
    </cfRule>
  </conditionalFormatting>
  <conditionalFormatting sqref="AL151:AL159">
    <cfRule type="expression" dxfId="888" priority="236" stopIfTrue="1">
      <formula>TIPOORCAMENTO="PROPOSTO"</formula>
    </cfRule>
    <cfRule type="expression" dxfId="887" priority="237" stopIfTrue="1">
      <formula>$C151=1</formula>
    </cfRule>
    <cfRule type="expression" dxfId="886" priority="238" stopIfTrue="1">
      <formula>OR(AND(ISNUMBER($C151),$C151=0),$C151=2,$C151=3,$C151=4)</formula>
    </cfRule>
  </conditionalFormatting>
  <conditionalFormatting sqref="AM151:AN159">
    <cfRule type="expression" dxfId="885" priority="239" stopIfTrue="1">
      <formula>TIPOORCAMENTO="PROPOSTO"</formula>
    </cfRule>
    <cfRule type="expression" dxfId="884" priority="240" stopIfTrue="1">
      <formula>$C151=1</formula>
    </cfRule>
    <cfRule type="expression" dxfId="883" priority="241" stopIfTrue="1">
      <formula>OR(AND(ISNUMBER($C151),$C151=0),$C151=2,$C151=3,$C151=4)</formula>
    </cfRule>
  </conditionalFormatting>
  <conditionalFormatting sqref="M160:M168">
    <cfRule type="cellIs" dxfId="882" priority="208" stopIfTrue="1" operator="notEqual">
      <formula>$N160</formula>
    </cfRule>
  </conditionalFormatting>
  <conditionalFormatting sqref="N160:O168 R160:R168 W160:X168">
    <cfRule type="expression" dxfId="881" priority="209" stopIfTrue="1">
      <formula>$C160=1</formula>
    </cfRule>
    <cfRule type="expression" dxfId="880" priority="210" stopIfTrue="1">
      <formula>OR($C160=0,$C160=2,$C160=3,$C160=4)</formula>
    </cfRule>
  </conditionalFormatting>
  <conditionalFormatting sqref="U160:V168">
    <cfRule type="expression" dxfId="879" priority="211" stopIfTrue="1">
      <formula>$C160=1</formula>
    </cfRule>
    <cfRule type="expression" dxfId="878" priority="212" stopIfTrue="1">
      <formula>OR($C160=0,$C160=2,$C160=3,$C160=4)</formula>
    </cfRule>
    <cfRule type="expression" dxfId="877" priority="213" stopIfTrue="1">
      <formula>AND(TIPOORCAMENTO="Licitado",$C160&lt;&gt;"L",$C160&lt;&gt;-1)</formula>
    </cfRule>
  </conditionalFormatting>
  <conditionalFormatting sqref="P160:Q168 S160:T168 Y160:Y168 AG160:AH168">
    <cfRule type="expression" dxfId="876" priority="214" stopIfTrue="1">
      <formula>$C160=1</formula>
    </cfRule>
    <cfRule type="expression" dxfId="875" priority="215" stopIfTrue="1">
      <formula>OR($C160=0,$C160=2,$C160=3,$C160=4)</formula>
    </cfRule>
  </conditionalFormatting>
  <conditionalFormatting sqref="AJ160:AJ168">
    <cfRule type="expression" dxfId="874" priority="216" stopIfTrue="1">
      <formula>OR(ACOMPANHAMENTO&lt;&gt;"BM",TIPOORCAMENTO="Licitado")</formula>
    </cfRule>
    <cfRule type="expression" dxfId="873" priority="217" stopIfTrue="1">
      <formula>$C160=1</formula>
    </cfRule>
    <cfRule type="expression" dxfId="872" priority="218" stopIfTrue="1">
      <formula>OR(AND(ISNUMBER($C160),$C160=0),$C160=2,$C160=3,$C160=4)</formula>
    </cfRule>
  </conditionalFormatting>
  <conditionalFormatting sqref="AL160:AL168">
    <cfRule type="expression" dxfId="871" priority="219" stopIfTrue="1">
      <formula>TIPOORCAMENTO="PROPOSTO"</formula>
    </cfRule>
    <cfRule type="expression" dxfId="870" priority="220" stopIfTrue="1">
      <formula>$C160=1</formula>
    </cfRule>
    <cfRule type="expression" dxfId="869" priority="221" stopIfTrue="1">
      <formula>OR(AND(ISNUMBER($C160),$C160=0),$C160=2,$C160=3,$C160=4)</formula>
    </cfRule>
  </conditionalFormatting>
  <conditionalFormatting sqref="AM160:AN168">
    <cfRule type="expression" dxfId="868" priority="222" stopIfTrue="1">
      <formula>TIPOORCAMENTO="PROPOSTO"</formula>
    </cfRule>
    <cfRule type="expression" dxfId="867" priority="223" stopIfTrue="1">
      <formula>$C160=1</formula>
    </cfRule>
    <cfRule type="expression" dxfId="866" priority="224" stopIfTrue="1">
      <formula>OR(AND(ISNUMBER($C160),$C160=0),$C160=2,$C160=3,$C160=4)</formula>
    </cfRule>
  </conditionalFormatting>
  <conditionalFormatting sqref="M169:M177">
    <cfRule type="cellIs" dxfId="865" priority="191" stopIfTrue="1" operator="notEqual">
      <formula>$N169</formula>
    </cfRule>
  </conditionalFormatting>
  <conditionalFormatting sqref="N169:O177 R169:R177 W169:X177">
    <cfRule type="expression" dxfId="864" priority="192" stopIfTrue="1">
      <formula>$C169=1</formula>
    </cfRule>
    <cfRule type="expression" dxfId="863" priority="193" stopIfTrue="1">
      <formula>OR($C169=0,$C169=2,$C169=3,$C169=4)</formula>
    </cfRule>
  </conditionalFormatting>
  <conditionalFormatting sqref="U169:V177">
    <cfRule type="expression" dxfId="862" priority="194" stopIfTrue="1">
      <formula>$C169=1</formula>
    </cfRule>
    <cfRule type="expression" dxfId="861" priority="195" stopIfTrue="1">
      <formula>OR($C169=0,$C169=2,$C169=3,$C169=4)</formula>
    </cfRule>
    <cfRule type="expression" dxfId="860" priority="196" stopIfTrue="1">
      <formula>AND(TIPOORCAMENTO="Licitado",$C169&lt;&gt;"L",$C169&lt;&gt;-1)</formula>
    </cfRule>
  </conditionalFormatting>
  <conditionalFormatting sqref="P169:Q177 S169:T177 Y169:Y177 AG169:AH177">
    <cfRule type="expression" dxfId="859" priority="197" stopIfTrue="1">
      <formula>$C169=1</formula>
    </cfRule>
    <cfRule type="expression" dxfId="858" priority="198" stopIfTrue="1">
      <formula>OR($C169=0,$C169=2,$C169=3,$C169=4)</formula>
    </cfRule>
  </conditionalFormatting>
  <conditionalFormatting sqref="AJ169:AJ177">
    <cfRule type="expression" dxfId="857" priority="199" stopIfTrue="1">
      <formula>OR(ACOMPANHAMENTO&lt;&gt;"BM",TIPOORCAMENTO="Licitado")</formula>
    </cfRule>
    <cfRule type="expression" dxfId="856" priority="200" stopIfTrue="1">
      <formula>$C169=1</formula>
    </cfRule>
    <cfRule type="expression" dxfId="855" priority="201" stopIfTrue="1">
      <formula>OR(AND(ISNUMBER($C169),$C169=0),$C169=2,$C169=3,$C169=4)</formula>
    </cfRule>
  </conditionalFormatting>
  <conditionalFormatting sqref="AL169:AL177">
    <cfRule type="expression" dxfId="854" priority="202" stopIfTrue="1">
      <formula>TIPOORCAMENTO="PROPOSTO"</formula>
    </cfRule>
    <cfRule type="expression" dxfId="853" priority="203" stopIfTrue="1">
      <formula>$C169=1</formula>
    </cfRule>
    <cfRule type="expression" dxfId="852" priority="204" stopIfTrue="1">
      <formula>OR(AND(ISNUMBER($C169),$C169=0),$C169=2,$C169=3,$C169=4)</formula>
    </cfRule>
  </conditionalFormatting>
  <conditionalFormatting sqref="AM169:AN177">
    <cfRule type="expression" dxfId="851" priority="205" stopIfTrue="1">
      <formula>TIPOORCAMENTO="PROPOSTO"</formula>
    </cfRule>
    <cfRule type="expression" dxfId="850" priority="206" stopIfTrue="1">
      <formula>$C169=1</formula>
    </cfRule>
    <cfRule type="expression" dxfId="849" priority="207" stopIfTrue="1">
      <formula>OR(AND(ISNUMBER($C169),$C169=0),$C169=2,$C169=3,$C169=4)</formula>
    </cfRule>
  </conditionalFormatting>
  <conditionalFormatting sqref="M178:M186">
    <cfRule type="cellIs" dxfId="848" priority="174" stopIfTrue="1" operator="notEqual">
      <formula>$N178</formula>
    </cfRule>
  </conditionalFormatting>
  <conditionalFormatting sqref="N178:O186 R178:R186 W178:X186">
    <cfRule type="expression" dxfId="847" priority="175" stopIfTrue="1">
      <formula>$C178=1</formula>
    </cfRule>
    <cfRule type="expression" dxfId="846" priority="176" stopIfTrue="1">
      <formula>OR($C178=0,$C178=2,$C178=3,$C178=4)</formula>
    </cfRule>
  </conditionalFormatting>
  <conditionalFormatting sqref="U178:V186">
    <cfRule type="expression" dxfId="845" priority="177" stopIfTrue="1">
      <formula>$C178=1</formula>
    </cfRule>
    <cfRule type="expression" dxfId="844" priority="178" stopIfTrue="1">
      <formula>OR($C178=0,$C178=2,$C178=3,$C178=4)</formula>
    </cfRule>
    <cfRule type="expression" dxfId="843" priority="179" stopIfTrue="1">
      <formula>AND(TIPOORCAMENTO="Licitado",$C178&lt;&gt;"L",$C178&lt;&gt;-1)</formula>
    </cfRule>
  </conditionalFormatting>
  <conditionalFormatting sqref="P178:Q186 S178:T186 Y178:Y186 AG178:AH186">
    <cfRule type="expression" dxfId="842" priority="180" stopIfTrue="1">
      <formula>$C178=1</formula>
    </cfRule>
    <cfRule type="expression" dxfId="841" priority="181" stopIfTrue="1">
      <formula>OR($C178=0,$C178=2,$C178=3,$C178=4)</formula>
    </cfRule>
  </conditionalFormatting>
  <conditionalFormatting sqref="AJ178:AJ186">
    <cfRule type="expression" dxfId="840" priority="182" stopIfTrue="1">
      <formula>OR(ACOMPANHAMENTO&lt;&gt;"BM",TIPOORCAMENTO="Licitado")</formula>
    </cfRule>
    <cfRule type="expression" dxfId="839" priority="183" stopIfTrue="1">
      <formula>$C178=1</formula>
    </cfRule>
    <cfRule type="expression" dxfId="838" priority="184" stopIfTrue="1">
      <formula>OR(AND(ISNUMBER($C178),$C178=0),$C178=2,$C178=3,$C178=4)</formula>
    </cfRule>
  </conditionalFormatting>
  <conditionalFormatting sqref="AL178:AL186">
    <cfRule type="expression" dxfId="837" priority="185" stopIfTrue="1">
      <formula>TIPOORCAMENTO="PROPOSTO"</formula>
    </cfRule>
    <cfRule type="expression" dxfId="836" priority="186" stopIfTrue="1">
      <formula>$C178=1</formula>
    </cfRule>
    <cfRule type="expression" dxfId="835" priority="187" stopIfTrue="1">
      <formula>OR(AND(ISNUMBER($C178),$C178=0),$C178=2,$C178=3,$C178=4)</formula>
    </cfRule>
  </conditionalFormatting>
  <conditionalFormatting sqref="AM178:AN186">
    <cfRule type="expression" dxfId="834" priority="188" stopIfTrue="1">
      <formula>TIPOORCAMENTO="PROPOSTO"</formula>
    </cfRule>
    <cfRule type="expression" dxfId="833" priority="189" stopIfTrue="1">
      <formula>$C178=1</formula>
    </cfRule>
    <cfRule type="expression" dxfId="832" priority="190" stopIfTrue="1">
      <formula>OR(AND(ISNUMBER($C178),$C178=0),$C178=2,$C178=3,$C178=4)</formula>
    </cfRule>
  </conditionalFormatting>
  <conditionalFormatting sqref="M187:M195">
    <cfRule type="cellIs" dxfId="831" priority="157" stopIfTrue="1" operator="notEqual">
      <formula>$N187</formula>
    </cfRule>
  </conditionalFormatting>
  <conditionalFormatting sqref="N187:O195 R187:R195 W187:X195">
    <cfRule type="expression" dxfId="830" priority="158" stopIfTrue="1">
      <formula>$C187=1</formula>
    </cfRule>
    <cfRule type="expression" dxfId="829" priority="159" stopIfTrue="1">
      <formula>OR($C187=0,$C187=2,$C187=3,$C187=4)</formula>
    </cfRule>
  </conditionalFormatting>
  <conditionalFormatting sqref="U187:V195">
    <cfRule type="expression" dxfId="828" priority="160" stopIfTrue="1">
      <formula>$C187=1</formula>
    </cfRule>
    <cfRule type="expression" dxfId="827" priority="161" stopIfTrue="1">
      <formula>OR($C187=0,$C187=2,$C187=3,$C187=4)</formula>
    </cfRule>
    <cfRule type="expression" dxfId="826" priority="162" stopIfTrue="1">
      <formula>AND(TIPOORCAMENTO="Licitado",$C187&lt;&gt;"L",$C187&lt;&gt;-1)</formula>
    </cfRule>
  </conditionalFormatting>
  <conditionalFormatting sqref="P187:Q195 S187:T195 Y187:Y195 AG187:AH195">
    <cfRule type="expression" dxfId="825" priority="163" stopIfTrue="1">
      <formula>$C187=1</formula>
    </cfRule>
    <cfRule type="expression" dxfId="824" priority="164" stopIfTrue="1">
      <formula>OR($C187=0,$C187=2,$C187=3,$C187=4)</formula>
    </cfRule>
  </conditionalFormatting>
  <conditionalFormatting sqref="AJ187:AJ195">
    <cfRule type="expression" dxfId="823" priority="165" stopIfTrue="1">
      <formula>OR(ACOMPANHAMENTO&lt;&gt;"BM",TIPOORCAMENTO="Licitado")</formula>
    </cfRule>
    <cfRule type="expression" dxfId="822" priority="166" stopIfTrue="1">
      <formula>$C187=1</formula>
    </cfRule>
    <cfRule type="expression" dxfId="821" priority="167" stopIfTrue="1">
      <formula>OR(AND(ISNUMBER($C187),$C187=0),$C187=2,$C187=3,$C187=4)</formula>
    </cfRule>
  </conditionalFormatting>
  <conditionalFormatting sqref="AL187:AL195">
    <cfRule type="expression" dxfId="820" priority="168" stopIfTrue="1">
      <formula>TIPOORCAMENTO="PROPOSTO"</formula>
    </cfRule>
    <cfRule type="expression" dxfId="819" priority="169" stopIfTrue="1">
      <formula>$C187=1</formula>
    </cfRule>
    <cfRule type="expression" dxfId="818" priority="170" stopIfTrue="1">
      <formula>OR(AND(ISNUMBER($C187),$C187=0),$C187=2,$C187=3,$C187=4)</formula>
    </cfRule>
  </conditionalFormatting>
  <conditionalFormatting sqref="AM187:AN195">
    <cfRule type="expression" dxfId="817" priority="171" stopIfTrue="1">
      <formula>TIPOORCAMENTO="PROPOSTO"</formula>
    </cfRule>
    <cfRule type="expression" dxfId="816" priority="172" stopIfTrue="1">
      <formula>$C187=1</formula>
    </cfRule>
    <cfRule type="expression" dxfId="815" priority="173" stopIfTrue="1">
      <formula>OR(AND(ISNUMBER($C187),$C187=0),$C187=2,$C187=3,$C187=4)</formula>
    </cfRule>
  </conditionalFormatting>
  <conditionalFormatting sqref="M196:M204">
    <cfRule type="cellIs" dxfId="814" priority="140" stopIfTrue="1" operator="notEqual">
      <formula>$N196</formula>
    </cfRule>
  </conditionalFormatting>
  <conditionalFormatting sqref="N196:O204 R196:R204 W196:X204">
    <cfRule type="expression" dxfId="813" priority="141" stopIfTrue="1">
      <formula>$C196=1</formula>
    </cfRule>
    <cfRule type="expression" dxfId="812" priority="142" stopIfTrue="1">
      <formula>OR($C196=0,$C196=2,$C196=3,$C196=4)</formula>
    </cfRule>
  </conditionalFormatting>
  <conditionalFormatting sqref="U196:V204">
    <cfRule type="expression" dxfId="811" priority="143" stopIfTrue="1">
      <formula>$C196=1</formula>
    </cfRule>
    <cfRule type="expression" dxfId="810" priority="144" stopIfTrue="1">
      <formula>OR($C196=0,$C196=2,$C196=3,$C196=4)</formula>
    </cfRule>
    <cfRule type="expression" dxfId="809" priority="145" stopIfTrue="1">
      <formula>AND(TIPOORCAMENTO="Licitado",$C196&lt;&gt;"L",$C196&lt;&gt;-1)</formula>
    </cfRule>
  </conditionalFormatting>
  <conditionalFormatting sqref="P196:Q202 S196:T204 Y196:Y204 AG196:AH204 P203:P204">
    <cfRule type="expression" dxfId="808" priority="146" stopIfTrue="1">
      <formula>$C196=1</formula>
    </cfRule>
    <cfRule type="expression" dxfId="807" priority="147" stopIfTrue="1">
      <formula>OR($C196=0,$C196=2,$C196=3,$C196=4)</formula>
    </cfRule>
  </conditionalFormatting>
  <conditionalFormatting sqref="AJ196:AJ204">
    <cfRule type="expression" dxfId="806" priority="148" stopIfTrue="1">
      <formula>OR(ACOMPANHAMENTO&lt;&gt;"BM",TIPOORCAMENTO="Licitado")</formula>
    </cfRule>
    <cfRule type="expression" dxfId="805" priority="149" stopIfTrue="1">
      <formula>$C196=1</formula>
    </cfRule>
    <cfRule type="expression" dxfId="804" priority="150" stopIfTrue="1">
      <formula>OR(AND(ISNUMBER($C196),$C196=0),$C196=2,$C196=3,$C196=4)</formula>
    </cfRule>
  </conditionalFormatting>
  <conditionalFormatting sqref="AL196:AL204">
    <cfRule type="expression" dxfId="803" priority="151" stopIfTrue="1">
      <formula>TIPOORCAMENTO="PROPOSTO"</formula>
    </cfRule>
    <cfRule type="expression" dxfId="802" priority="152" stopIfTrue="1">
      <formula>$C196=1</formula>
    </cfRule>
    <cfRule type="expression" dxfId="801" priority="153" stopIfTrue="1">
      <formula>OR(AND(ISNUMBER($C196),$C196=0),$C196=2,$C196=3,$C196=4)</formula>
    </cfRule>
  </conditionalFormatting>
  <conditionalFormatting sqref="AM196:AN204">
    <cfRule type="expression" dxfId="800" priority="154" stopIfTrue="1">
      <formula>TIPOORCAMENTO="PROPOSTO"</formula>
    </cfRule>
    <cfRule type="expression" dxfId="799" priority="155" stopIfTrue="1">
      <formula>$C196=1</formula>
    </cfRule>
    <cfRule type="expression" dxfId="798" priority="156" stopIfTrue="1">
      <formula>OR(AND(ISNUMBER($C196),$C196=0),$C196=2,$C196=3,$C196=4)</formula>
    </cfRule>
  </conditionalFormatting>
  <conditionalFormatting sqref="M205:M213">
    <cfRule type="cellIs" dxfId="797" priority="123" stopIfTrue="1" operator="notEqual">
      <formula>$N205</formula>
    </cfRule>
  </conditionalFormatting>
  <conditionalFormatting sqref="N205:O213 R205:R213 W205:X213">
    <cfRule type="expression" dxfId="796" priority="124" stopIfTrue="1">
      <formula>$C205=1</formula>
    </cfRule>
    <cfRule type="expression" dxfId="795" priority="125" stopIfTrue="1">
      <formula>OR($C205=0,$C205=2,$C205=3,$C205=4)</formula>
    </cfRule>
  </conditionalFormatting>
  <conditionalFormatting sqref="U205:V213">
    <cfRule type="expression" dxfId="794" priority="126" stopIfTrue="1">
      <formula>$C205=1</formula>
    </cfRule>
    <cfRule type="expression" dxfId="793" priority="127" stopIfTrue="1">
      <formula>OR($C205=0,$C205=2,$C205=3,$C205=4)</formula>
    </cfRule>
    <cfRule type="expression" dxfId="792" priority="128" stopIfTrue="1">
      <formula>AND(TIPOORCAMENTO="Licitado",$C205&lt;&gt;"L",$C205&lt;&gt;-1)</formula>
    </cfRule>
  </conditionalFormatting>
  <conditionalFormatting sqref="P206:Q213 S205:T213 Y205:Y213 AG205:AH213 P205">
    <cfRule type="expression" dxfId="791" priority="129" stopIfTrue="1">
      <formula>$C205=1</formula>
    </cfRule>
    <cfRule type="expression" dxfId="790" priority="130" stopIfTrue="1">
      <formula>OR($C205=0,$C205=2,$C205=3,$C205=4)</formula>
    </cfRule>
  </conditionalFormatting>
  <conditionalFormatting sqref="AJ205:AJ213">
    <cfRule type="expression" dxfId="789" priority="131" stopIfTrue="1">
      <formula>OR(ACOMPANHAMENTO&lt;&gt;"BM",TIPOORCAMENTO="Licitado")</formula>
    </cfRule>
    <cfRule type="expression" dxfId="788" priority="132" stopIfTrue="1">
      <formula>$C205=1</formula>
    </cfRule>
    <cfRule type="expression" dxfId="787" priority="133" stopIfTrue="1">
      <formula>OR(AND(ISNUMBER($C205),$C205=0),$C205=2,$C205=3,$C205=4)</formula>
    </cfRule>
  </conditionalFormatting>
  <conditionalFormatting sqref="AL205:AL213">
    <cfRule type="expression" dxfId="786" priority="134" stopIfTrue="1">
      <formula>TIPOORCAMENTO="PROPOSTO"</formula>
    </cfRule>
    <cfRule type="expression" dxfId="785" priority="135" stopIfTrue="1">
      <formula>$C205=1</formula>
    </cfRule>
    <cfRule type="expression" dxfId="784" priority="136" stopIfTrue="1">
      <formula>OR(AND(ISNUMBER($C205),$C205=0),$C205=2,$C205=3,$C205=4)</formula>
    </cfRule>
  </conditionalFormatting>
  <conditionalFormatting sqref="AM205:AN213">
    <cfRule type="expression" dxfId="783" priority="137" stopIfTrue="1">
      <formula>TIPOORCAMENTO="PROPOSTO"</formula>
    </cfRule>
    <cfRule type="expression" dxfId="782" priority="138" stopIfTrue="1">
      <formula>$C205=1</formula>
    </cfRule>
    <cfRule type="expression" dxfId="781" priority="139" stopIfTrue="1">
      <formula>OR(AND(ISNUMBER($C205),$C205=0),$C205=2,$C205=3,$C205=4)</formula>
    </cfRule>
  </conditionalFormatting>
  <conditionalFormatting sqref="M214:M222">
    <cfRule type="cellIs" dxfId="780" priority="106" stopIfTrue="1" operator="notEqual">
      <formula>$N214</formula>
    </cfRule>
  </conditionalFormatting>
  <conditionalFormatting sqref="N214:O222 R214:R222 W214:X222">
    <cfRule type="expression" dxfId="779" priority="107" stopIfTrue="1">
      <formula>$C214=1</formula>
    </cfRule>
    <cfRule type="expression" dxfId="778" priority="108" stopIfTrue="1">
      <formula>OR($C214=0,$C214=2,$C214=3,$C214=4)</formula>
    </cfRule>
  </conditionalFormatting>
  <conditionalFormatting sqref="U214:V222">
    <cfRule type="expression" dxfId="777" priority="109" stopIfTrue="1">
      <formula>$C214=1</formula>
    </cfRule>
    <cfRule type="expression" dxfId="776" priority="110" stopIfTrue="1">
      <formula>OR($C214=0,$C214=2,$C214=3,$C214=4)</formula>
    </cfRule>
    <cfRule type="expression" dxfId="775" priority="111" stopIfTrue="1">
      <formula>AND(TIPOORCAMENTO="Licitado",$C214&lt;&gt;"L",$C214&lt;&gt;-1)</formula>
    </cfRule>
  </conditionalFormatting>
  <conditionalFormatting sqref="P214:Q222 S214:T222 Y214:Y222 AG214:AH222">
    <cfRule type="expression" dxfId="774" priority="112" stopIfTrue="1">
      <formula>$C214=1</formula>
    </cfRule>
    <cfRule type="expression" dxfId="773" priority="113" stopIfTrue="1">
      <formula>OR($C214=0,$C214=2,$C214=3,$C214=4)</formula>
    </cfRule>
  </conditionalFormatting>
  <conditionalFormatting sqref="AJ214:AJ222">
    <cfRule type="expression" dxfId="772" priority="114" stopIfTrue="1">
      <formula>OR(ACOMPANHAMENTO&lt;&gt;"BM",TIPOORCAMENTO="Licitado")</formula>
    </cfRule>
    <cfRule type="expression" dxfId="771" priority="115" stopIfTrue="1">
      <formula>$C214=1</formula>
    </cfRule>
    <cfRule type="expression" dxfId="770" priority="116" stopIfTrue="1">
      <formula>OR(AND(ISNUMBER($C214),$C214=0),$C214=2,$C214=3,$C214=4)</formula>
    </cfRule>
  </conditionalFormatting>
  <conditionalFormatting sqref="AL214:AL222">
    <cfRule type="expression" dxfId="769" priority="117" stopIfTrue="1">
      <formula>TIPOORCAMENTO="PROPOSTO"</formula>
    </cfRule>
    <cfRule type="expression" dxfId="768" priority="118" stopIfTrue="1">
      <formula>$C214=1</formula>
    </cfRule>
    <cfRule type="expression" dxfId="767" priority="119" stopIfTrue="1">
      <formula>OR(AND(ISNUMBER($C214),$C214=0),$C214=2,$C214=3,$C214=4)</formula>
    </cfRule>
  </conditionalFormatting>
  <conditionalFormatting sqref="AM214:AN222">
    <cfRule type="expression" dxfId="766" priority="120" stopIfTrue="1">
      <formula>TIPOORCAMENTO="PROPOSTO"</formula>
    </cfRule>
    <cfRule type="expression" dxfId="765" priority="121" stopIfTrue="1">
      <formula>$C214=1</formula>
    </cfRule>
    <cfRule type="expression" dxfId="764" priority="122" stopIfTrue="1">
      <formula>OR(AND(ISNUMBER($C214),$C214=0),$C214=2,$C214=3,$C214=4)</formula>
    </cfRule>
  </conditionalFormatting>
  <conditionalFormatting sqref="M223:M231">
    <cfRule type="cellIs" dxfId="763" priority="89" stopIfTrue="1" operator="notEqual">
      <formula>$N223</formula>
    </cfRule>
  </conditionalFormatting>
  <conditionalFormatting sqref="N223:O231 R223:R231 W223:X231">
    <cfRule type="expression" dxfId="762" priority="90" stopIfTrue="1">
      <formula>$C223=1</formula>
    </cfRule>
    <cfRule type="expression" dxfId="761" priority="91" stopIfTrue="1">
      <formula>OR($C223=0,$C223=2,$C223=3,$C223=4)</formula>
    </cfRule>
  </conditionalFormatting>
  <conditionalFormatting sqref="U223:V231">
    <cfRule type="expression" dxfId="760" priority="92" stopIfTrue="1">
      <formula>$C223=1</formula>
    </cfRule>
    <cfRule type="expression" dxfId="759" priority="93" stopIfTrue="1">
      <formula>OR($C223=0,$C223=2,$C223=3,$C223=4)</formula>
    </cfRule>
    <cfRule type="expression" dxfId="758" priority="94" stopIfTrue="1">
      <formula>AND(TIPOORCAMENTO="Licitado",$C223&lt;&gt;"L",$C223&lt;&gt;-1)</formula>
    </cfRule>
  </conditionalFormatting>
  <conditionalFormatting sqref="P223:Q231 S223:T231 Y223:Y231 AG223:AH231">
    <cfRule type="expression" dxfId="757" priority="95" stopIfTrue="1">
      <formula>$C223=1</formula>
    </cfRule>
    <cfRule type="expression" dxfId="756" priority="96" stopIfTrue="1">
      <formula>OR($C223=0,$C223=2,$C223=3,$C223=4)</formula>
    </cfRule>
  </conditionalFormatting>
  <conditionalFormatting sqref="AJ223:AJ231">
    <cfRule type="expression" dxfId="755" priority="97" stopIfTrue="1">
      <formula>OR(ACOMPANHAMENTO&lt;&gt;"BM",TIPOORCAMENTO="Licitado")</formula>
    </cfRule>
    <cfRule type="expression" dxfId="754" priority="98" stopIfTrue="1">
      <formula>$C223=1</formula>
    </cfRule>
    <cfRule type="expression" dxfId="753" priority="99" stopIfTrue="1">
      <formula>OR(AND(ISNUMBER($C223),$C223=0),$C223=2,$C223=3,$C223=4)</formula>
    </cfRule>
  </conditionalFormatting>
  <conditionalFormatting sqref="AL223:AL231">
    <cfRule type="expression" dxfId="752" priority="100" stopIfTrue="1">
      <formula>TIPOORCAMENTO="PROPOSTO"</formula>
    </cfRule>
    <cfRule type="expression" dxfId="751" priority="101" stopIfTrue="1">
      <formula>$C223=1</formula>
    </cfRule>
    <cfRule type="expression" dxfId="750" priority="102" stopIfTrue="1">
      <formula>OR(AND(ISNUMBER($C223),$C223=0),$C223=2,$C223=3,$C223=4)</formula>
    </cfRule>
  </conditionalFormatting>
  <conditionalFormatting sqref="AM223:AN231">
    <cfRule type="expression" dxfId="749" priority="103" stopIfTrue="1">
      <formula>TIPOORCAMENTO="PROPOSTO"</formula>
    </cfRule>
    <cfRule type="expression" dxfId="748" priority="104" stopIfTrue="1">
      <formula>$C223=1</formula>
    </cfRule>
    <cfRule type="expression" dxfId="747" priority="105" stopIfTrue="1">
      <formula>OR(AND(ISNUMBER($C223),$C223=0),$C223=2,$C223=3,$C223=4)</formula>
    </cfRule>
  </conditionalFormatting>
  <conditionalFormatting sqref="M232:M240">
    <cfRule type="cellIs" dxfId="746" priority="72" stopIfTrue="1" operator="notEqual">
      <formula>$N232</formula>
    </cfRule>
  </conditionalFormatting>
  <conditionalFormatting sqref="N232:O240 R232:R240 W232:X240">
    <cfRule type="expression" dxfId="745" priority="73" stopIfTrue="1">
      <formula>$C232=1</formula>
    </cfRule>
    <cfRule type="expression" dxfId="744" priority="74" stopIfTrue="1">
      <formula>OR($C232=0,$C232=2,$C232=3,$C232=4)</formula>
    </cfRule>
  </conditionalFormatting>
  <conditionalFormatting sqref="U232:V240">
    <cfRule type="expression" dxfId="743" priority="75" stopIfTrue="1">
      <formula>$C232=1</formula>
    </cfRule>
    <cfRule type="expression" dxfId="742" priority="76" stopIfTrue="1">
      <formula>OR($C232=0,$C232=2,$C232=3,$C232=4)</formula>
    </cfRule>
    <cfRule type="expression" dxfId="741" priority="77" stopIfTrue="1">
      <formula>AND(TIPOORCAMENTO="Licitado",$C232&lt;&gt;"L",$C232&lt;&gt;-1)</formula>
    </cfRule>
  </conditionalFormatting>
  <conditionalFormatting sqref="P232:Q240 S232:T240 Y232:Y240 AG232:AH240">
    <cfRule type="expression" dxfId="740" priority="78" stopIfTrue="1">
      <formula>$C232=1</formula>
    </cfRule>
    <cfRule type="expression" dxfId="739" priority="79" stopIfTrue="1">
      <formula>OR($C232=0,$C232=2,$C232=3,$C232=4)</formula>
    </cfRule>
  </conditionalFormatting>
  <conditionalFormatting sqref="AJ232:AJ240">
    <cfRule type="expression" dxfId="738" priority="80" stopIfTrue="1">
      <formula>OR(ACOMPANHAMENTO&lt;&gt;"BM",TIPOORCAMENTO="Licitado")</formula>
    </cfRule>
    <cfRule type="expression" dxfId="737" priority="81" stopIfTrue="1">
      <formula>$C232=1</formula>
    </cfRule>
    <cfRule type="expression" dxfId="736" priority="82" stopIfTrue="1">
      <formula>OR(AND(ISNUMBER($C232),$C232=0),$C232=2,$C232=3,$C232=4)</formula>
    </cfRule>
  </conditionalFormatting>
  <conditionalFormatting sqref="AL232:AL240">
    <cfRule type="expression" dxfId="735" priority="83" stopIfTrue="1">
      <formula>TIPOORCAMENTO="PROPOSTO"</formula>
    </cfRule>
    <cfRule type="expression" dxfId="734" priority="84" stopIfTrue="1">
      <formula>$C232=1</formula>
    </cfRule>
    <cfRule type="expression" dxfId="733" priority="85" stopIfTrue="1">
      <formula>OR(AND(ISNUMBER($C232),$C232=0),$C232=2,$C232=3,$C232=4)</formula>
    </cfRule>
  </conditionalFormatting>
  <conditionalFormatting sqref="AM232:AN240">
    <cfRule type="expression" dxfId="732" priority="86" stopIfTrue="1">
      <formula>TIPOORCAMENTO="PROPOSTO"</formula>
    </cfRule>
    <cfRule type="expression" dxfId="731" priority="87" stopIfTrue="1">
      <formula>$C232=1</formula>
    </cfRule>
    <cfRule type="expression" dxfId="730" priority="88" stopIfTrue="1">
      <formula>OR(AND(ISNUMBER($C232),$C232=0),$C232=2,$C232=3,$C232=4)</formula>
    </cfRule>
  </conditionalFormatting>
  <conditionalFormatting sqref="M241:M249">
    <cfRule type="cellIs" dxfId="729" priority="55" stopIfTrue="1" operator="notEqual">
      <formula>$N241</formula>
    </cfRule>
  </conditionalFormatting>
  <conditionalFormatting sqref="N241:O249 R241:R249 W241:X249">
    <cfRule type="expression" dxfId="728" priority="56" stopIfTrue="1">
      <formula>$C241=1</formula>
    </cfRule>
    <cfRule type="expression" dxfId="727" priority="57" stopIfTrue="1">
      <formula>OR($C241=0,$C241=2,$C241=3,$C241=4)</formula>
    </cfRule>
  </conditionalFormatting>
  <conditionalFormatting sqref="U241:V249">
    <cfRule type="expression" dxfId="726" priority="58" stopIfTrue="1">
      <formula>$C241=1</formula>
    </cfRule>
    <cfRule type="expression" dxfId="725" priority="59" stopIfTrue="1">
      <formula>OR($C241=0,$C241=2,$C241=3,$C241=4)</formula>
    </cfRule>
    <cfRule type="expression" dxfId="724" priority="60" stopIfTrue="1">
      <formula>AND(TIPOORCAMENTO="Licitado",$C241&lt;&gt;"L",$C241&lt;&gt;-1)</formula>
    </cfRule>
  </conditionalFormatting>
  <conditionalFormatting sqref="P241:Q249 S241:T249 Y241:Y249 AG241:AH249">
    <cfRule type="expression" dxfId="723" priority="61" stopIfTrue="1">
      <formula>$C241=1</formula>
    </cfRule>
    <cfRule type="expression" dxfId="722" priority="62" stopIfTrue="1">
      <formula>OR($C241=0,$C241=2,$C241=3,$C241=4)</formula>
    </cfRule>
  </conditionalFormatting>
  <conditionalFormatting sqref="AJ241:AJ249">
    <cfRule type="expression" dxfId="721" priority="63" stopIfTrue="1">
      <formula>OR(ACOMPANHAMENTO&lt;&gt;"BM",TIPOORCAMENTO="Licitado")</formula>
    </cfRule>
    <cfRule type="expression" dxfId="720" priority="64" stopIfTrue="1">
      <formula>$C241=1</formula>
    </cfRule>
    <cfRule type="expression" dxfId="719" priority="65" stopIfTrue="1">
      <formula>OR(AND(ISNUMBER($C241),$C241=0),$C241=2,$C241=3,$C241=4)</formula>
    </cfRule>
  </conditionalFormatting>
  <conditionalFormatting sqref="AL241:AL249">
    <cfRule type="expression" dxfId="718" priority="66" stopIfTrue="1">
      <formula>TIPOORCAMENTO="PROPOSTO"</formula>
    </cfRule>
    <cfRule type="expression" dxfId="717" priority="67" stopIfTrue="1">
      <formula>$C241=1</formula>
    </cfRule>
    <cfRule type="expression" dxfId="716" priority="68" stopIfTrue="1">
      <formula>OR(AND(ISNUMBER($C241),$C241=0),$C241=2,$C241=3,$C241=4)</formula>
    </cfRule>
  </conditionalFormatting>
  <conditionalFormatting sqref="AM241:AN249">
    <cfRule type="expression" dxfId="715" priority="69" stopIfTrue="1">
      <formula>TIPOORCAMENTO="PROPOSTO"</formula>
    </cfRule>
    <cfRule type="expression" dxfId="714" priority="70" stopIfTrue="1">
      <formula>$C241=1</formula>
    </cfRule>
    <cfRule type="expression" dxfId="713" priority="71" stopIfTrue="1">
      <formula>OR(AND(ISNUMBER($C241),$C241=0),$C241=2,$C241=3,$C241=4)</formula>
    </cfRule>
  </conditionalFormatting>
  <conditionalFormatting sqref="M250:M258">
    <cfRule type="cellIs" dxfId="712" priority="38" stopIfTrue="1" operator="notEqual">
      <formula>$N250</formula>
    </cfRule>
  </conditionalFormatting>
  <conditionalFormatting sqref="N250:O258 R250:R258 W250:X258">
    <cfRule type="expression" dxfId="711" priority="39" stopIfTrue="1">
      <formula>$C250=1</formula>
    </cfRule>
    <cfRule type="expression" dxfId="710" priority="40" stopIfTrue="1">
      <formula>OR($C250=0,$C250=2,$C250=3,$C250=4)</formula>
    </cfRule>
  </conditionalFormatting>
  <conditionalFormatting sqref="U250:V258">
    <cfRule type="expression" dxfId="709" priority="41" stopIfTrue="1">
      <formula>$C250=1</formula>
    </cfRule>
    <cfRule type="expression" dxfId="708" priority="42" stopIfTrue="1">
      <formula>OR($C250=0,$C250=2,$C250=3,$C250=4)</formula>
    </cfRule>
    <cfRule type="expression" dxfId="707" priority="43" stopIfTrue="1">
      <formula>AND(TIPOORCAMENTO="Licitado",$C250&lt;&gt;"L",$C250&lt;&gt;-1)</formula>
    </cfRule>
  </conditionalFormatting>
  <conditionalFormatting sqref="P250:Q258 S250:T258 Y250:Y258 AG250:AH258">
    <cfRule type="expression" dxfId="706" priority="44" stopIfTrue="1">
      <formula>$C250=1</formula>
    </cfRule>
    <cfRule type="expression" dxfId="705" priority="45" stopIfTrue="1">
      <formula>OR($C250=0,$C250=2,$C250=3,$C250=4)</formula>
    </cfRule>
  </conditionalFormatting>
  <conditionalFormatting sqref="AJ250:AJ258">
    <cfRule type="expression" dxfId="704" priority="46" stopIfTrue="1">
      <formula>OR(ACOMPANHAMENTO&lt;&gt;"BM",TIPOORCAMENTO="Licitado")</formula>
    </cfRule>
    <cfRule type="expression" dxfId="703" priority="47" stopIfTrue="1">
      <formula>$C250=1</formula>
    </cfRule>
    <cfRule type="expression" dxfId="702" priority="48" stopIfTrue="1">
      <formula>OR(AND(ISNUMBER($C250),$C250=0),$C250=2,$C250=3,$C250=4)</formula>
    </cfRule>
  </conditionalFormatting>
  <conditionalFormatting sqref="AL250:AL258">
    <cfRule type="expression" dxfId="701" priority="49" stopIfTrue="1">
      <formula>TIPOORCAMENTO="PROPOSTO"</formula>
    </cfRule>
    <cfRule type="expression" dxfId="700" priority="50" stopIfTrue="1">
      <formula>$C250=1</formula>
    </cfRule>
    <cfRule type="expression" dxfId="699" priority="51" stopIfTrue="1">
      <formula>OR(AND(ISNUMBER($C250),$C250=0),$C250=2,$C250=3,$C250=4)</formula>
    </cfRule>
  </conditionalFormatting>
  <conditionalFormatting sqref="AM250:AN258">
    <cfRule type="expression" dxfId="698" priority="52" stopIfTrue="1">
      <formula>TIPOORCAMENTO="PROPOSTO"</formula>
    </cfRule>
    <cfRule type="expression" dxfId="697" priority="53" stopIfTrue="1">
      <formula>$C250=1</formula>
    </cfRule>
    <cfRule type="expression" dxfId="696" priority="54" stopIfTrue="1">
      <formula>OR(AND(ISNUMBER($C250),$C250=0),$C250=2,$C250=3,$C250=4)</formula>
    </cfRule>
  </conditionalFormatting>
  <conditionalFormatting sqref="M259:M265">
    <cfRule type="cellIs" dxfId="695" priority="21" stopIfTrue="1" operator="notEqual">
      <formula>$N259</formula>
    </cfRule>
  </conditionalFormatting>
  <conditionalFormatting sqref="N259:O265 R259:R265 W259:X265">
    <cfRule type="expression" dxfId="694" priority="22" stopIfTrue="1">
      <formula>$C259=1</formula>
    </cfRule>
    <cfRule type="expression" dxfId="693" priority="23" stopIfTrue="1">
      <formula>OR($C259=0,$C259=2,$C259=3,$C259=4)</formula>
    </cfRule>
  </conditionalFormatting>
  <conditionalFormatting sqref="U259:V265">
    <cfRule type="expression" dxfId="692" priority="24" stopIfTrue="1">
      <formula>$C259=1</formula>
    </cfRule>
    <cfRule type="expression" dxfId="691" priority="25" stopIfTrue="1">
      <formula>OR($C259=0,$C259=2,$C259=3,$C259=4)</formula>
    </cfRule>
    <cfRule type="expression" dxfId="690" priority="26" stopIfTrue="1">
      <formula>AND(TIPOORCAMENTO="Licitado",$C259&lt;&gt;"L",$C259&lt;&gt;-1)</formula>
    </cfRule>
  </conditionalFormatting>
  <conditionalFormatting sqref="P259:Q265 S259:T265 Y259:Y265 AG259:AH265">
    <cfRule type="expression" dxfId="689" priority="27" stopIfTrue="1">
      <formula>$C259=1</formula>
    </cfRule>
    <cfRule type="expression" dxfId="688" priority="28" stopIfTrue="1">
      <formula>OR($C259=0,$C259=2,$C259=3,$C259=4)</formula>
    </cfRule>
  </conditionalFormatting>
  <conditionalFormatting sqref="AJ259:AJ265">
    <cfRule type="expression" dxfId="687" priority="29" stopIfTrue="1">
      <formula>OR(ACOMPANHAMENTO&lt;&gt;"BM",TIPOORCAMENTO="Licitado")</formula>
    </cfRule>
    <cfRule type="expression" dxfId="686" priority="30" stopIfTrue="1">
      <formula>$C259=1</formula>
    </cfRule>
    <cfRule type="expression" dxfId="685" priority="31" stopIfTrue="1">
      <formula>OR(AND(ISNUMBER($C259),$C259=0),$C259=2,$C259=3,$C259=4)</formula>
    </cfRule>
  </conditionalFormatting>
  <conditionalFormatting sqref="AL259:AL265">
    <cfRule type="expression" dxfId="684" priority="32" stopIfTrue="1">
      <formula>TIPOORCAMENTO="PROPOSTO"</formula>
    </cfRule>
    <cfRule type="expression" dxfId="683" priority="33" stopIfTrue="1">
      <formula>$C259=1</formula>
    </cfRule>
    <cfRule type="expression" dxfId="682" priority="34" stopIfTrue="1">
      <formula>OR(AND(ISNUMBER($C259),$C259=0),$C259=2,$C259=3,$C259=4)</formula>
    </cfRule>
  </conditionalFormatting>
  <conditionalFormatting sqref="AM259:AN265">
    <cfRule type="expression" dxfId="681" priority="35" stopIfTrue="1">
      <formula>TIPOORCAMENTO="PROPOSTO"</formula>
    </cfRule>
    <cfRule type="expression" dxfId="680" priority="36" stopIfTrue="1">
      <formula>$C259=1</formula>
    </cfRule>
    <cfRule type="expression" dxfId="679" priority="37" stopIfTrue="1">
      <formula>OR(AND(ISNUMBER($C259),$C259=0),$C259=2,$C259=3,$C259=4)</formula>
    </cfRule>
  </conditionalFormatting>
  <conditionalFormatting sqref="Q71">
    <cfRule type="expression" dxfId="678" priority="19" stopIfTrue="1">
      <formula>$C71=1</formula>
    </cfRule>
    <cfRule type="expression" dxfId="677" priority="20" stopIfTrue="1">
      <formula>OR($C71=0,$C71=2,$C71=3,$C71=4)</formula>
    </cfRule>
  </conditionalFormatting>
  <conditionalFormatting sqref="Q72">
    <cfRule type="expression" dxfId="676" priority="17" stopIfTrue="1">
      <formula>$C72=1</formula>
    </cfRule>
    <cfRule type="expression" dxfId="675" priority="18" stopIfTrue="1">
      <formula>OR($C72=0,$C72=2,$C72=3,$C72=4)</formula>
    </cfRule>
  </conditionalFormatting>
  <conditionalFormatting sqref="Q76">
    <cfRule type="expression" dxfId="674" priority="15" stopIfTrue="1">
      <formula>$C76=1</formula>
    </cfRule>
    <cfRule type="expression" dxfId="673" priority="16" stopIfTrue="1">
      <formula>OR($C76=0,$C76=2,$C76=3,$C76=4)</formula>
    </cfRule>
  </conditionalFormatting>
  <conditionalFormatting sqref="Q77:Q80">
    <cfRule type="expression" dxfId="672" priority="13" stopIfTrue="1">
      <formula>$C77=1</formula>
    </cfRule>
    <cfRule type="expression" dxfId="671" priority="14" stopIfTrue="1">
      <formula>OR($C77=0,$C77=2,$C77=3,$C77=4)</formula>
    </cfRule>
  </conditionalFormatting>
  <conditionalFormatting sqref="Q81">
    <cfRule type="expression" dxfId="670" priority="11" stopIfTrue="1">
      <formula>$C81=1</formula>
    </cfRule>
    <cfRule type="expression" dxfId="669" priority="12" stopIfTrue="1">
      <formula>OR($C81=0,$C81=2,$C81=3,$C81=4)</formula>
    </cfRule>
  </conditionalFormatting>
  <conditionalFormatting sqref="Q73:Q75">
    <cfRule type="expression" dxfId="668" priority="9" stopIfTrue="1">
      <formula>$C73=1</formula>
    </cfRule>
    <cfRule type="expression" dxfId="667" priority="10" stopIfTrue="1">
      <formula>OR($C73=0,$C73=2,$C73=3,$C73=4)</formula>
    </cfRule>
  </conditionalFormatting>
  <conditionalFormatting sqref="Q49:Q53 Q46:Q47">
    <cfRule type="expression" dxfId="666" priority="7" stopIfTrue="1">
      <formula>$C46=1</formula>
    </cfRule>
    <cfRule type="expression" dxfId="665" priority="8" stopIfTrue="1">
      <formula>OR($C46=0,$C46=2,$C46=3,$C46=4)</formula>
    </cfRule>
  </conditionalFormatting>
  <conditionalFormatting sqref="Q48">
    <cfRule type="expression" dxfId="664" priority="5" stopIfTrue="1">
      <formula>$C48=1</formula>
    </cfRule>
    <cfRule type="expression" dxfId="663" priority="6" stopIfTrue="1">
      <formula>OR($C48=0,$C48=2,$C48=3,$C48=4)</formula>
    </cfRule>
  </conditionalFormatting>
  <conditionalFormatting sqref="Q54">
    <cfRule type="expression" dxfId="662" priority="3" stopIfTrue="1">
      <formula>$C54=1</formula>
    </cfRule>
    <cfRule type="expression" dxfId="661" priority="4" stopIfTrue="1">
      <formula>OR($C54=0,$C54=2,$C54=3,$C54=4)</formula>
    </cfRule>
  </conditionalFormatting>
  <conditionalFormatting sqref="Q203:Q205">
    <cfRule type="expression" dxfId="660" priority="1" stopIfTrue="1">
      <formula>$C203=1</formula>
    </cfRule>
    <cfRule type="expression" dxfId="659" priority="2" stopIfTrue="1">
      <formula>OR($C203=0,$C203=2,$C203=3,$C203=4)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232" activePane="bottomRight" state="frozen"/>
      <selection activeCell="C1" sqref="C1"/>
      <selection pane="topRight" activeCell="I1" sqref="I1"/>
      <selection pane="bottomLeft" activeCell="C16" sqref="C16"/>
      <selection pane="bottomRight" activeCell="G271" sqref="G271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7" t="str">
        <f>IF(ACOMPANHAMENTO="BM","MEMÓRIA DE CÁLCULO","PLQ - PLANILHA DE LEVANTAMENTO DE QUANTIDADES")</f>
        <v>MEMÓRIA DE CÁLCULO</v>
      </c>
      <c r="G1" s="707"/>
      <c r="H1" s="707"/>
      <c r="I1" s="180"/>
      <c r="K1" s="180"/>
      <c r="L1" s="180"/>
      <c r="M1" s="181"/>
      <c r="N1" s="180"/>
      <c r="P1" s="180"/>
      <c r="Q1" s="664" t="s">
        <v>139</v>
      </c>
      <c r="R1" s="664"/>
      <c r="Y1" s="664" t="s">
        <v>139</v>
      </c>
      <c r="Z1" s="664"/>
    </row>
    <row r="2" spans="1:59" ht="15" customHeight="1" x14ac:dyDescent="0.2">
      <c r="F2" s="708" t="str">
        <f>IF(ACOMPANHAMENTO="BM","","Memória de Cálculo")&amp;" - "&amp;import.recurso</f>
        <v xml:space="preserve"> - (SELECIONAR)</v>
      </c>
      <c r="G2" s="708"/>
      <c r="H2" s="708"/>
      <c r="I2" s="182"/>
      <c r="K2" s="182"/>
      <c r="L2" s="182"/>
      <c r="M2" s="183"/>
      <c r="N2" s="182"/>
      <c r="P2" s="182"/>
      <c r="Q2" s="665" t="s">
        <v>142</v>
      </c>
      <c r="R2" s="665"/>
      <c r="Y2" s="665" t="s">
        <v>142</v>
      </c>
      <c r="Z2" s="665"/>
    </row>
    <row r="3" spans="1:59" ht="12.75" customHeight="1" x14ac:dyDescent="0.2"/>
    <row r="4" spans="1:59" ht="12.75" customHeight="1" x14ac:dyDescent="0.2">
      <c r="E4" s="666" t="s">
        <v>201</v>
      </c>
      <c r="F4" s="666"/>
      <c r="G4" s="666" t="s">
        <v>439</v>
      </c>
      <c r="H4" s="666"/>
      <c r="I4" s="112" t="s">
        <v>440</v>
      </c>
      <c r="K4" s="184" t="s">
        <v>146</v>
      </c>
      <c r="L4" s="185"/>
      <c r="M4" s="185"/>
      <c r="N4" s="185"/>
      <c r="O4" s="185"/>
      <c r="P4" s="185"/>
      <c r="Q4" s="185"/>
      <c r="R4" s="186"/>
      <c r="S4" s="666" t="s">
        <v>145</v>
      </c>
      <c r="T4" s="666"/>
      <c r="U4" s="666" t="s">
        <v>146</v>
      </c>
      <c r="V4" s="666"/>
      <c r="W4" s="666"/>
      <c r="X4" s="666"/>
      <c r="Y4" s="666"/>
      <c r="Z4" s="666"/>
    </row>
    <row r="5" spans="1:59" ht="12.75" customHeight="1" x14ac:dyDescent="0.2">
      <c r="E5" s="663" t="str">
        <f>Import.Apelido</f>
        <v>OBRA DE MODERNIZAÇÃO DO CENTRO COMUNITARIO DE NOVA UNIÃO</v>
      </c>
      <c r="F5" s="663"/>
      <c r="G5" s="663">
        <f>Import.SICONV</f>
        <v>0</v>
      </c>
      <c r="H5" s="663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63">
        <f>Import.CR</f>
        <v>0</v>
      </c>
      <c r="T5" s="663"/>
      <c r="U5" s="663" t="str">
        <f>Import.Proponente</f>
        <v>MUNICIPIO DE CÉU AZUL</v>
      </c>
      <c r="V5" s="663"/>
      <c r="W5" s="663"/>
      <c r="X5" s="663"/>
      <c r="Y5" s="663"/>
      <c r="Z5" s="663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(abra o arquivo 'Referência 05-2023.xls)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9">
        <f>Import.DescLote</f>
        <v>0</v>
      </c>
      <c r="F15" s="709"/>
      <c r="G15" s="709"/>
      <c r="H15" s="709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REFORMA DO CENTRO COMUNITÁRIO DE NOVA UNIÃO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SERVIÇOS PRELIMINARES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38.2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(abra o arquivo 'Referência 05-2023.xls)</v>
      </c>
      <c r="G18" s="208" t="str">
        <f ca="1">IF($D18&lt;&gt;"Serviço","",OFFSET(ORÇAMENTO!S$15,ROW(G18)-ROW(G$15),0))</f>
        <v>-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2.88</v>
      </c>
      <c r="I18" s="612"/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SERVIÇOS PRELIMINARES</v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1000000000000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25.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(abra o arquivo 'Referência 05-2023.xls)</v>
      </c>
      <c r="G19" s="208" t="str">
        <f ca="1">IF($D19&lt;&gt;"Serviço","",OFFSET(ORÇAMENTO!S$15,ROW(G19)-ROW(G$15),0))</f>
        <v>-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42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SERVIÇOS PRELIMINARES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25.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6" t="str">
        <f ca="1">OFFSET(ORÇAMENTO!N$15,ROW(D20)-ROW(D$15),0)</f>
        <v>Serviço</v>
      </c>
      <c r="E20" s="206" t="str">
        <f ca="1">OFFSET(ORÇAMENTO!O$15,ROW(E20)-ROW(E$15),0)</f>
        <v>1.1.3.</v>
      </c>
      <c r="F20" s="207" t="str">
        <f ca="1">OFFSET(ORÇAMENTO!R$15,ROW(F20)-ROW(F$15),0)</f>
        <v>(abra o arquivo 'Referência 05-2023.xls)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95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SERVIÇOS PRELIMINARES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6" t="str">
        <f ca="1">OFFSET(ORÇAMENTO!N$15,ROW(D21)-ROW(D$15),0)</f>
        <v>Serviço</v>
      </c>
      <c r="E21" s="206" t="str">
        <f ca="1">OFFSET(ORÇAMENTO!O$15,ROW(E21)-ROW(E$15),0)</f>
        <v>1.1.4.</v>
      </c>
      <c r="F21" s="207" t="str">
        <f ca="1">OFFSET(ORÇAMENTO!R$15,ROW(F21)-ROW(F$15),0)</f>
        <v>(abra o arquivo 'Referência 05-2023.xls)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22.2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SERVIÇOS PRELIMINARES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25.5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>F</v>
      </c>
      <c r="D22" s="146" t="str">
        <f ca="1">OFFSET(ORÇAMENTO!N$15,ROW(D22)-ROW(D$15),0)</f>
        <v>Serviço</v>
      </c>
      <c r="E22" s="206" t="str">
        <f ca="1">OFFSET(ORÇAMENTO!O$15,ROW(E22)-ROW(E$15),0)</f>
        <v>1.1.5.</v>
      </c>
      <c r="F22" s="207" t="str">
        <f ca="1">OFFSET(ORÇAMENTO!R$15,ROW(F22)-ROW(F$15),0)</f>
        <v>(abra o arquivo 'Referência 05-2023.xls)</v>
      </c>
      <c r="G22" s="208" t="str">
        <f ca="1">IF($D22&lt;&gt;"Serviço","",OFFSET(ORÇAMENTO!S$15,ROW(G22)-ROW(G$15),0))</f>
        <v>-</v>
      </c>
      <c r="H22" s="152">
        <f ca="1">IF($D22&lt;&gt;"Serviço",0,IF(ACOMPANHAMENTO="BM",ROUND(OFFSET(ORÇAMENTO!AJ$15,ROW(H22)-ROW(H$15),0),15-13*ORÇAMENTO!$AF$7),SUMPRODUCT(($Q$12:$AA$12&lt;&gt;"")*ROUND($Q22:$AA22,15-13*ORÇAMENTO!$AF$7))))</f>
        <v>25.77</v>
      </c>
      <c r="I22" s="612"/>
      <c r="K22" s="209"/>
      <c r="L22" s="210" t="s">
        <v>254</v>
      </c>
      <c r="M22" s="211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12" t="str">
        <f ca="1">IF($D22&lt;&gt;"Serviço","",IF(AUTOEVENTO="Manual",IF($A22=0,"&lt;-- defina o número do agrupador",OFFSET(EVENTOS!$D$14,$A22,0)),OFFSET($F$15,$A22,0)))</f>
        <v>SERVIÇOS PRELIMINARES</v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1000000000000</v>
      </c>
      <c r="AN22" s="216">
        <f ca="1">IF($D22&lt;&gt;"Serviço",0,IF(AND(AUTOEVENTO="Manual",$M22=1),0,IF(OFFSET(CRONOPLE!$F$14,$M22,AN$13)="",10^12,OFFSET(CRONOPLE!$F$14,$M22,AN$13))))</f>
        <v>1000000000000</v>
      </c>
      <c r="AO22" s="216">
        <f ca="1">IF($D22&lt;&gt;"Serviço",0,IF(AND(AUTOEVENTO="Manual",$M22=1),0,IF(OFFSET(CRONOPLE!$F$14,$M22,AO$13)="",10^12,OFFSET(CRONOPLE!$F$14,$M22,AO$13))))</f>
        <v>1000000000000</v>
      </c>
      <c r="AP22" s="216">
        <f ca="1">IF($D22&lt;&gt;"Serviço",0,IF(AND(AUTOEVENTO="Manual",$M22=1),0,IF(OFFSET(CRONOPLE!$F$14,$M22,AP$13)="",10^12,OFFSET(CRONOPLE!$F$14,$M22,AP$13))))</f>
        <v>1000000000000</v>
      </c>
      <c r="AQ22" s="216">
        <f ca="1">IF($D22&lt;&gt;"Serviço",0,IF(AND(AUTOEVENTO="Manual",$M22=1),0,IF(OFFSET(CRONOPLE!$F$14,$M22,AQ$13)="",10^12,OFFSET(CRONOPLE!$F$14,$M22,AQ$13))))</f>
        <v>1000000000000</v>
      </c>
      <c r="AR22" s="216">
        <f ca="1">IF($D22&lt;&gt;"Serviço",0,IF(AND(AUTOEVENTO="Manual",$M22=1),0,IF(OFFSET(CRONOPLE!$F$14,$M22,AR$13)="",10^12,OFFSET(CRONOPLE!$F$14,$M22,AR$13))))</f>
        <v>1000000000000</v>
      </c>
      <c r="AS22" s="216">
        <f ca="1">IF($D22&lt;&gt;"Serviço",0,IF(AND(AUTOEVENTO="Manual",$M22=1),0,IF(OFFSET(CRONOPLE!$F$14,$M22,AS$13)="",10^12,OFFSET(CRONOPLE!$F$14,$M22,AS$13))))</f>
        <v>1000000000000</v>
      </c>
      <c r="AT22" s="216">
        <f ca="1">IF($D22&lt;&gt;"Serviço",0,IF(AND(AUTOEVENTO="Manual",$M22=1),0,IF(OFFSET(CRONOPLE!$F$14,$M22,AT$13)="",10^12,OFFSET(CRONOPLE!$F$14,$M22,AT$13))))</f>
        <v>1000000000000</v>
      </c>
      <c r="AU22" s="216">
        <f ca="1">IF($D22&lt;&gt;"Serviço",0,IF(AND(AUTOEVENTO="Manual",$M22=1),0,IF(OFFSET(CRONOPLE!$F$14,$M22,AU$13)="",10^12,OFFSET(CRONOPLE!$F$14,$M22,AU$13))))</f>
        <v>1000000000000</v>
      </c>
      <c r="AV22" s="216">
        <f ca="1">IF($D22&lt;&gt;"Serviço",0,IF(AND(AUTOEVENTO="Manual",$M22=1),0,IF(OFFSET(CRONOPLE!$F$14,$M22,AV$13)="",10^12,OFFSET(CRONOPLE!$F$14,$M22,AV$13))))</f>
        <v>1000000000000</v>
      </c>
      <c r="AX22" s="217">
        <f ca="1">IF($D22&lt;&gt;"Serviço",0,IF(OR(AND(AUTOEVENTO="Manual",$M22=1),$M22&gt;(ROW(PLE.lastrow)-ROW(PLE.firstrow))),0,IF(OFFSET(PLE!$G$14,$M22,AX$13)="",10^12,OFFSET(PLE!$G$14,$M22,AX$13))))</f>
        <v>1000000000000</v>
      </c>
      <c r="AY22" s="217">
        <f ca="1">IF($D22&lt;&gt;"Serviço",0,IF(OR(AND(AUTOEVENTO="Manual",$M22=1),$M22&gt;(ROW(PLE.lastrow)-ROW(PLE.firstrow))),0,IF(OFFSET(PLE!$G$14,$M22,AY$13)="",10^12,OFFSET(PLE!$G$14,$M22,AY$13))))</f>
        <v>1000000000000</v>
      </c>
      <c r="AZ22" s="217">
        <f ca="1">IF($D22&lt;&gt;"Serviço",0,IF(OR(AND(AUTOEVENTO="Manual",$M22=1),$M22&gt;(ROW(PLE.lastrow)-ROW(PLE.firstrow))),0,IF(OFFSET(PLE!$G$14,$M22,AZ$13)="",10^12,OFFSET(PLE!$G$14,$M22,AZ$13))))</f>
        <v>1000000000000</v>
      </c>
      <c r="BA22" s="217">
        <f ca="1">IF($D22&lt;&gt;"Serviço",0,IF(OR(AND(AUTOEVENTO="Manual",$M22=1),$M22&gt;(ROW(PLE.lastrow)-ROW(PLE.firstrow))),0,IF(OFFSET(PLE!$G$14,$M22,BA$13)="",10^12,OFFSET(PLE!$G$14,$M22,BA$13))))</f>
        <v>1000000000000</v>
      </c>
      <c r="BB22" s="217">
        <f ca="1">IF($D22&lt;&gt;"Serviço",0,IF(OR(AND(AUTOEVENTO="Manual",$M22=1),$M22&gt;(ROW(PLE.lastrow)-ROW(PLE.firstrow))),0,IF(OFFSET(PLE!$G$14,$M22,BB$13)="",10^12,OFFSET(PLE!$G$14,$M22,BB$13))))</f>
        <v>1000000000000</v>
      </c>
      <c r="BC22" s="217">
        <f ca="1">IF($D22&lt;&gt;"Serviço",0,IF(OR(AND(AUTOEVENTO="Manual",$M22=1),$M22&gt;(ROW(PLE.lastrow)-ROW(PLE.firstrow))),0,IF(OFFSET(PLE!$G$14,$M22,BC$13)="",10^12,OFFSET(PLE!$G$14,$M22,BC$13))))</f>
        <v>1000000000000</v>
      </c>
      <c r="BD22" s="217">
        <f ca="1">IF($D22&lt;&gt;"Serviço",0,IF(OR(AND(AUTOEVENTO="Manual",$M22=1),$M22&gt;(ROW(PLE.lastrow)-ROW(PLE.firstrow))),0,IF(OFFSET(PLE!$G$14,$M22,BD$13)="",10^12,OFFSET(PLE!$G$14,$M22,BD$13))))</f>
        <v>1000000000000</v>
      </c>
      <c r="BE22" s="217">
        <f ca="1">IF($D22&lt;&gt;"Serviço",0,IF(OR(AND(AUTOEVENTO="Manual",$M22=1),$M22&gt;(ROW(PLE.lastrow)-ROW(PLE.firstrow))),0,IF(OFFSET(PLE!$G$14,$M22,BE$13)="",10^12,OFFSET(PLE!$G$14,$M22,BE$13))))</f>
        <v>1000000000000</v>
      </c>
      <c r="BF22" s="217">
        <f ca="1">IF($D22&lt;&gt;"Serviço",0,IF(OR(AND(AUTOEVENTO="Manual",$M22=1),$M22&gt;(ROW(PLE.lastrow)-ROW(PLE.firstrow))),0,IF(OFFSET(PLE!$G$14,$M22,BF$13)="",10^12,OFFSET(PLE!$G$14,$M22,BF$13))))</f>
        <v>1000000000000</v>
      </c>
      <c r="BG22" s="217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25.5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6" t="str">
        <f ca="1">OFFSET(ORÇAMENTO!N$15,ROW(D23)-ROW(D$15),0)</f>
        <v>Serviço</v>
      </c>
      <c r="E23" s="206" t="str">
        <f ca="1">OFFSET(ORÇAMENTO!O$15,ROW(E23)-ROW(E$15),0)</f>
        <v>1.1.6.</v>
      </c>
      <c r="F23" s="207" t="str">
        <f ca="1">OFFSET(ORÇAMENTO!R$15,ROW(F23)-ROW(F$15),0)</f>
        <v>(abra o arquivo 'Referência 05-2023.xls)</v>
      </c>
      <c r="G23" s="208" t="str">
        <f ca="1">IF($D23&lt;&gt;"Serviço","",OFFSET(ORÇAMENTO!S$15,ROW(G23)-ROW(G$15),0))</f>
        <v>-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95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12" t="str">
        <f ca="1">IF($D23&lt;&gt;"Serviço","",IF(AUTOEVENTO="Manual",IF($A23=0,"&lt;-- defina o número do agrupador",OFFSET(EVENTOS!$D$14,$A23,0)),OFFSET($F$15,$A23,0)))</f>
        <v>SERVIÇOS PRELIMINARES</v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1000000000000</v>
      </c>
      <c r="AN23" s="216">
        <f ca="1">IF($D23&lt;&gt;"Serviço",0,IF(AND(AUTOEVENTO="Manual",$M23=1),0,IF(OFFSET(CRONOPLE!$F$14,$M23,AN$13)="",10^12,OFFSET(CRONOPLE!$F$14,$M23,AN$13))))</f>
        <v>1000000000000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25.5" x14ac:dyDescent="0.2">
      <c r="A24" s="9" t="str">
        <f t="shared" ca="1" si="8"/>
        <v>2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1.1.7.</v>
      </c>
      <c r="F24" s="207" t="str">
        <f ca="1">OFFSET(ORÇAMENTO!R$15,ROW(F24)-ROW(F$15),0)</f>
        <v>(abra o arquivo 'Referência 05-2023.xls)</v>
      </c>
      <c r="G24" s="208" t="str">
        <f ca="1">IF($D24&lt;&gt;"Serviço","",OFFSET(ORÇAMENTO!S$15,ROW(G24)-ROW(G$15),0))</f>
        <v>-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14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212" t="str">
        <f ca="1">IF($D24&lt;&gt;"Serviço","",IF(AUTOEVENTO="Manual",IF($A24=0,"&lt;-- defina o número do agrupador",OFFSET(EVENTOS!$D$14,$A24,0)),OFFSET($F$15,$A24,0)))</f>
        <v>SERVIÇOS PRELIMINARES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25.5" x14ac:dyDescent="0.2">
      <c r="A25" s="9" t="str">
        <f t="shared" ca="1" si="8"/>
        <v>2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1.1.8.</v>
      </c>
      <c r="F25" s="207" t="str">
        <f ca="1">OFFSET(ORÇAMENTO!R$15,ROW(F25)-ROW(F$15),0)</f>
        <v>(abra o arquivo 'Referência 05-2023.xls)</v>
      </c>
      <c r="G25" s="208" t="str">
        <f ca="1">IF($D25&lt;&gt;"Serviço","",OFFSET(ORÇAMENTO!S$15,ROW(G25)-ROW(G$15),0))</f>
        <v>-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150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212" t="str">
        <f ca="1">IF($D25&lt;&gt;"Serviço","",IF(AUTOEVENTO="Manual",IF($A25=0,"&lt;-- defina o número do agrupador",OFFSET(EVENTOS!$D$14,$A25,0)),OFFSET($F$15,$A25,0)))</f>
        <v>SERVIÇOS PRELIMINARES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25.5" x14ac:dyDescent="0.2">
      <c r="A26" s="9" t="str">
        <f t="shared" ca="1" si="8"/>
        <v>2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1.1.9.</v>
      </c>
      <c r="F26" s="207" t="str">
        <f ca="1">OFFSET(ORÇAMENTO!R$15,ROW(F26)-ROW(F$15),0)</f>
        <v>(abra o arquivo 'Referência 05-2023.xls)</v>
      </c>
      <c r="G26" s="208" t="str">
        <f ca="1">IF($D26&lt;&gt;"Serviço","",OFFSET(ORÇAMENTO!S$15,ROW(G26)-ROW(G$15),0))</f>
        <v>-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40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2</v>
      </c>
      <c r="N26" s="212" t="str">
        <f ca="1">IF($D26&lt;&gt;"Serviço","",IF(AUTOEVENTO="Manual",IF($A26=0,"&lt;-- defina o número do agrupador",OFFSET(EVENTOS!$D$14,$A26,0)),OFFSET($F$15,$A26,0)))</f>
        <v>SERVIÇOS PRELIMINARES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25.5" x14ac:dyDescent="0.2">
      <c r="A27" s="9" t="str">
        <f t="shared" ca="1" si="8"/>
        <v>2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6" t="str">
        <f ca="1">OFFSET(ORÇAMENTO!N$15,ROW(D27)-ROW(D$15),0)</f>
        <v>Serviço</v>
      </c>
      <c r="E27" s="206" t="str">
        <f ca="1">OFFSET(ORÇAMENTO!O$15,ROW(E27)-ROW(E$15),0)</f>
        <v>1.1.10.</v>
      </c>
      <c r="F27" s="207" t="str">
        <f ca="1">OFFSET(ORÇAMENTO!R$15,ROW(F27)-ROW(F$15),0)</f>
        <v>(abra o arquivo 'Referência 05-2023.xls)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95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2</v>
      </c>
      <c r="N27" s="212" t="str">
        <f ca="1">IF($D27&lt;&gt;"Serviço","",IF(AUTOEVENTO="Manual",IF($A27=0,"&lt;-- defina o número do agrupador",OFFSET(EVENTOS!$D$14,$A27,0)),OFFSET($F$15,$A27,0)))</f>
        <v>SERVIÇOS PRELIMINARES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38.25" x14ac:dyDescent="0.2">
      <c r="A28" s="9" t="str">
        <f t="shared" ca="1" si="8"/>
        <v>2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6" t="str">
        <f ca="1">OFFSET(ORÇAMENTO!N$15,ROW(D28)-ROW(D$15),0)</f>
        <v>Serviço</v>
      </c>
      <c r="E28" s="206" t="str">
        <f ca="1">OFFSET(ORÇAMENTO!O$15,ROW(E28)-ROW(E$15),0)</f>
        <v>1.1.11.</v>
      </c>
      <c r="F28" s="207" t="str">
        <f ca="1">OFFSET(ORÇAMENTO!R$15,ROW(F28)-ROW(F$15),0)</f>
        <v>(abra o arquivo 'Referência 05-2023.xls)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72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2</v>
      </c>
      <c r="N28" s="212" t="str">
        <f ca="1">IF($D28&lt;&gt;"Serviço","",IF(AUTOEVENTO="Manual",IF($A28=0,"&lt;-- defina o número do agrupador",OFFSET(EVENTOS!$D$14,$A28,0)),OFFSET($F$15,$A28,0)))</f>
        <v>SERVIÇOS PRELIMINARES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9" t="str">
        <f t="shared" ca="1" si="8"/>
        <v>2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6" t="str">
        <f ca="1">OFFSET(ORÇAMENTO!N$15,ROW(D29)-ROW(D$15),0)</f>
        <v>Serviço</v>
      </c>
      <c r="E29" s="206" t="str">
        <f ca="1">OFFSET(ORÇAMENTO!O$15,ROW(E29)-ROW(E$15),0)</f>
        <v>1.1.12.</v>
      </c>
      <c r="F29" s="207" t="str">
        <f ca="1">OFFSET(ORÇAMENTO!R$15,ROW(F29)-ROW(F$15),0)</f>
        <v>(abra o arquivo 'Referência 05-2023.xls)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48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2</v>
      </c>
      <c r="N29" s="212" t="str">
        <f ca="1">IF($D29&lt;&gt;"Serviço","",IF(AUTOEVENTO="Manual",IF($A29=0,"&lt;-- defina o número do agrupador",OFFSET(EVENTOS!$D$14,$A29,0)),OFFSET($F$15,$A29,0)))</f>
        <v>SERVIÇOS PRELIMINARES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9" t="str">
        <f t="shared" ca="1" si="8"/>
        <v>2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6" t="str">
        <f ca="1">OFFSET(ORÇAMENTO!N$15,ROW(D30)-ROW(D$15),0)</f>
        <v>Serviço</v>
      </c>
      <c r="E30" s="206" t="str">
        <f ca="1">OFFSET(ORÇAMENTO!O$15,ROW(E30)-ROW(E$15),0)</f>
        <v>-</v>
      </c>
      <c r="F30" s="207" t="str">
        <f ca="1">OFFSET(ORÇAMENTO!R$15,ROW(F30)-ROW(F$15),0)</f>
        <v>(abra o arquivo 'Referência 05-2023.xls)</v>
      </c>
      <c r="G30" s="208" t="str">
        <f ca="1">IF($D30&lt;&gt;"Serviço","",OFFSET(ORÇAMENTO!S$15,ROW(G30)-ROW(G$15),0))</f>
        <v>-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2</v>
      </c>
      <c r="N30" s="212" t="str">
        <f ca="1">IF($D30&lt;&gt;"Serviço","",IF(AUTOEVENTO="Manual",IF($A30=0,"&lt;-- defina o número do agrupador",OFFSET(EVENTOS!$D$14,$A30,0)),OFFSET($F$15,$A30,0)))</f>
        <v>SERVIÇOS PRELIMINARES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9" t="str">
        <f t="shared" ca="1" si="8"/>
        <v>2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6" t="str">
        <f ca="1">OFFSET(ORÇAMENTO!N$15,ROW(D31)-ROW(D$15),0)</f>
        <v>Serviço</v>
      </c>
      <c r="E31" s="206" t="str">
        <f ca="1">OFFSET(ORÇAMENTO!O$15,ROW(E31)-ROW(E$15),0)</f>
        <v>-</v>
      </c>
      <c r="F31" s="207" t="str">
        <f ca="1">OFFSET(ORÇAMENTO!R$15,ROW(F31)-ROW(F$15),0)</f>
        <v>(abra o arquivo 'Referência 05-2023.xls)</v>
      </c>
      <c r="G31" s="208" t="str">
        <f ca="1">IF($D31&lt;&gt;"Serviço","",OFFSET(ORÇAMENTO!S$15,ROW(G31)-ROW(G$15),0))</f>
        <v>-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2</v>
      </c>
      <c r="N31" s="212" t="str">
        <f ca="1">IF($D31&lt;&gt;"Serviço","",IF(AUTOEVENTO="Manual",IF($A31=0,"&lt;-- defina o número do agrupador",OFFSET(EVENTOS!$D$14,$A31,0)),OFFSET($F$15,$A31,0)))</f>
        <v>SERVIÇOS PRELIMINARES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2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 t="str">
        <f ca="1">OFFSET(ORÇAMENTO!R$15,ROW(F32)-ROW(F$15),0)</f>
        <v>(abra o arquivo 'Referência 05-2023.xls)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2</v>
      </c>
      <c r="N32" s="212" t="str">
        <f ca="1">IF($D32&lt;&gt;"Serviço","",IF(AUTOEVENTO="Manual",IF($A32=0,"&lt;-- defina o número do agrupador",OFFSET(EVENTOS!$D$14,$A32,0)),OFFSET($F$15,$A32,0)))</f>
        <v>SERVIÇOS PRELIMINARES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2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(abra o arquivo 'Referência 05-2023.xls)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2</v>
      </c>
      <c r="N33" s="212" t="str">
        <f ca="1">IF($D33&lt;&gt;"Serviço","",IF(AUTOEVENTO="Manual",IF($A33=0,"&lt;-- defina o número do agrupador",OFFSET(EVENTOS!$D$14,$A33,0)),OFFSET($F$15,$A33,0)))</f>
        <v>SERVIÇOS PRELIMINARES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2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 t="str">
        <f ca="1">OFFSET(ORÇAMENTO!R$15,ROW(F34)-ROW(F$15),0)</f>
        <v>(abra o arquivo 'Referência 05-2023.xls)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2</v>
      </c>
      <c r="N34" s="212" t="str">
        <f ca="1">IF($D34&lt;&gt;"Serviço","",IF(AUTOEVENTO="Manual",IF($A34=0,"&lt;-- defina o número do agrupador",OFFSET(EVENTOS!$D$14,$A34,0)),OFFSET($F$15,$A34,0)))</f>
        <v>SERVIÇOS PRELIMINARES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2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(abra o arquivo 'Referência 05-2023.xls)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2</v>
      </c>
      <c r="N35" s="212" t="str">
        <f ca="1">IF($D35&lt;&gt;"Serviço","",IF(AUTOEVENTO="Manual",IF($A35=0,"&lt;-- defina o número do agrupador",OFFSET(EVENTOS!$D$14,$A35,0)),OFFSET($F$15,$A35,0)))</f>
        <v>SERVIÇOS PRELIMINARES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2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6" t="str">
        <f ca="1">OFFSET(ORÇAMENTO!N$15,ROW(D36)-ROW(D$15),0)</f>
        <v>Serviço</v>
      </c>
      <c r="E36" s="206" t="str">
        <f ca="1">OFFSET(ORÇAMENTO!O$15,ROW(E36)-ROW(E$15),0)</f>
        <v>-</v>
      </c>
      <c r="F36" s="207" t="str">
        <f ca="1">OFFSET(ORÇAMENTO!R$15,ROW(F36)-ROW(F$15),0)</f>
        <v>(abra o arquivo 'Referência 05-2023.xls)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2</v>
      </c>
      <c r="N36" s="212" t="str">
        <f ca="1">IF($D36&lt;&gt;"Serviço","",IF(AUTOEVENTO="Manual",IF($A36=0,"&lt;-- defina o número do agrupador",OFFSET(EVENTOS!$D$14,$A36,0)),OFFSET($F$15,$A36,0)))</f>
        <v>SERVIÇOS PRELIMINARES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1000000000000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2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6" t="str">
        <f ca="1">OFFSET(ORÇAMENTO!N$15,ROW(D37)-ROW(D$15),0)</f>
        <v>Serviço</v>
      </c>
      <c r="E37" s="206" t="str">
        <f ca="1">OFFSET(ORÇAMENTO!O$15,ROW(E37)-ROW(E$15),0)</f>
        <v>-</v>
      </c>
      <c r="F37" s="207" t="str">
        <f ca="1">OFFSET(ORÇAMENTO!R$15,ROW(F37)-ROW(F$15),0)</f>
        <v>(abra o arquivo 'Referência 05-2023.xls)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2</v>
      </c>
      <c r="N37" s="212" t="str">
        <f ca="1">IF($D37&lt;&gt;"Serviço","",IF(AUTOEVENTO="Manual",IF($A37=0,"&lt;-- defina o número do agrupador",OFFSET(EVENTOS!$D$14,$A37,0)),OFFSET($F$15,$A37,0)))</f>
        <v>SERVIÇOS PRELIMINARES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1000000000000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2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6" t="str">
        <f ca="1">OFFSET(ORÇAMENTO!N$15,ROW(D38)-ROW(D$15),0)</f>
        <v>Serviço</v>
      </c>
      <c r="E38" s="206" t="str">
        <f ca="1">OFFSET(ORÇAMENTO!O$15,ROW(E38)-ROW(E$15),0)</f>
        <v>-</v>
      </c>
      <c r="F38" s="207" t="str">
        <f ca="1">OFFSET(ORÇAMENTO!R$15,ROW(F38)-ROW(F$15),0)</f>
        <v>(abra o arquivo 'Referência 05-2023.xls)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2</v>
      </c>
      <c r="N38" s="212" t="str">
        <f ca="1">IF($D38&lt;&gt;"Serviço","",IF(AUTOEVENTO="Manual",IF($A38=0,"&lt;-- defina o número do agrupador",OFFSET(EVENTOS!$D$14,$A38,0)),OFFSET($F$15,$A38,0)))</f>
        <v>SERVIÇOS PRELIMINARES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2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6" t="str">
        <f ca="1">OFFSET(ORÇAMENTO!N$15,ROW(D39)-ROW(D$15),0)</f>
        <v>Serviço</v>
      </c>
      <c r="E39" s="206" t="str">
        <f ca="1">OFFSET(ORÇAMENTO!O$15,ROW(E39)-ROW(E$15),0)</f>
        <v>-</v>
      </c>
      <c r="F39" s="207" t="str">
        <f ca="1">OFFSET(ORÇAMENTO!R$15,ROW(F39)-ROW(F$15),0)</f>
        <v>(abra o arquivo 'Referência 05-2023.xls)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2</v>
      </c>
      <c r="N39" s="212" t="str">
        <f ca="1">IF($D39&lt;&gt;"Serviço","",IF(AUTOEVENTO="Manual",IF($A39=0,"&lt;-- defina o número do agrupador",OFFSET(EVENTOS!$D$14,$A39,0)),OFFSET($F$15,$A39,0)))</f>
        <v>SERVIÇOS PRELIMINARES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2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(abra o arquivo 'Referência 05-2023.xls)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2</v>
      </c>
      <c r="N40" s="212" t="str">
        <f ca="1">IF($D40&lt;&gt;"Serviço","",IF(AUTOEVENTO="Manual",IF($A40=0,"&lt;-- defina o número do agrupador",OFFSET(EVENTOS!$D$14,$A40,0)),OFFSET($F$15,$A40,0)))</f>
        <v>SERVIÇOS PRELIMINARES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2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(abra o arquivo 'Referência 05-2023.xls)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2</v>
      </c>
      <c r="N41" s="212" t="str">
        <f ca="1">IF($D41&lt;&gt;"Serviço","",IF(AUTOEVENTO="Manual",IF($A41=0,"&lt;-- defina o número do agrupador",OFFSET(EVENTOS!$D$14,$A41,0)),OFFSET($F$15,$A41,0)))</f>
        <v>SERVIÇOS PRELIMINARES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</v>
      </c>
      <c r="B42" s="9" t="str">
        <f ca="1">OFFSET(ORÇAMENTO!C$15,ROW(B42)-ROW(B$15),0)</f>
        <v>S</v>
      </c>
      <c r="C42" s="9" t="str">
        <f ca="1">OFFSET(ORÇAMENTO!L$15,ROW(C42)-ROW(C$15),0)</f>
        <v/>
      </c>
      <c r="D42" s="146" t="str">
        <f ca="1">OFFSET(ORÇAMENTO!N$15,ROW(D42)-ROW(D$15),0)</f>
        <v>Serviço</v>
      </c>
      <c r="E42" s="206" t="str">
        <f ca="1">OFFSET(ORÇAMENTO!O$15,ROW(E42)-ROW(E$15),0)</f>
        <v>-</v>
      </c>
      <c r="F42" s="207" t="str">
        <f ca="1">OFFSET(ORÇAMENTO!R$15,ROW(F42)-ROW(F$15),0)</f>
        <v>(abra o arquivo 'Referência 05-2023.xls)</v>
      </c>
      <c r="G42" s="208" t="str">
        <f ca="1">IF($D42&lt;&gt;"Serviço","",OFFSET(ORÇAMENTO!S$15,ROW(G42)-ROW(G$15),0))</f>
        <v>-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2</v>
      </c>
      <c r="N42" s="212" t="str">
        <f ca="1">IF($D42&lt;&gt;"Serviço","",IF(AUTOEVENTO="Manual",IF($A42=0,"&lt;-- defina o número do agrupador",OFFSET(EVENTOS!$D$14,$A42,0)),OFFSET($F$15,$A42,0)))</f>
        <v>SERVIÇOS PRELIMINARES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x14ac:dyDescent="0.2">
      <c r="A43" s="9" t="str">
        <f t="shared" ca="1" si="8"/>
        <v>2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6" t="str">
        <f ca="1">OFFSET(ORÇAMENTO!N$15,ROW(D43)-ROW(D$15),0)</f>
        <v>Serviço</v>
      </c>
      <c r="E43" s="206" t="str">
        <f ca="1">OFFSET(ORÇAMENTO!O$15,ROW(E43)-ROW(E$15),0)</f>
        <v>-</v>
      </c>
      <c r="F43" s="207" t="str">
        <f ca="1">OFFSET(ORÇAMENTO!R$15,ROW(F43)-ROW(F$15),0)</f>
        <v>(abra o arquivo 'Referência 05-2023.xls)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2</v>
      </c>
      <c r="N43" s="212" t="str">
        <f ca="1">IF($D43&lt;&gt;"Serviço","",IF(AUTOEVENTO="Manual",IF($A43=0,"&lt;-- defina o número do agrupador",OFFSET(EVENTOS!$D$14,$A43,0)),OFFSET($F$15,$A43,0)))</f>
        <v>SERVIÇOS PRELIMINARES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1000000000000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9" t="str">
        <f t="shared" ca="1" si="8"/>
        <v>2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(abra o arquivo 'Referência 05-2023.xls)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2</v>
      </c>
      <c r="N44" s="212" t="str">
        <f ca="1">IF($D44&lt;&gt;"Serviço","",IF(AUTOEVENTO="Manual",IF($A44=0,"&lt;-- defina o número do agrupador",OFFSET(EVENTOS!$D$14,$A44,0)),OFFSET($F$15,$A44,0)))</f>
        <v>SERVIÇOS PRELIMINARES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9" t="str">
        <f t="shared" ca="1" si="8"/>
        <v>30.</v>
      </c>
      <c r="B45" s="9">
        <f ca="1">OFFSET(ORÇAMENTO!C$15,ROW(B45)-ROW(B$15),0)</f>
        <v>2</v>
      </c>
      <c r="C45" s="9" t="str">
        <f ca="1">OFFSET(ORÇAMENTO!L$15,ROW(C45)-ROW(C$15),0)</f>
        <v>F</v>
      </c>
      <c r="D45" s="146" t="str">
        <f ca="1">OFFSET(ORÇAMENTO!N$15,ROW(D45)-ROW(D$15),0)</f>
        <v>Nível 2</v>
      </c>
      <c r="E45" s="206" t="str">
        <f ca="1">OFFSET(ORÇAMENTO!O$15,ROW(E45)-ROW(E$15),0)</f>
        <v>1.2.</v>
      </c>
      <c r="F45" s="207" t="str">
        <f ca="1">OFFSET(ORÇAMENTO!R$15,ROW(F45)-ROW(F$15),0)</f>
        <v>INFRAESTRUTURA</v>
      </c>
      <c r="G45" s="208" t="str">
        <f ca="1">IF($D45&lt;&gt;"Serviço","",OFFSET(ORÇAMENTO!S$15,ROW(G45)-ROW(G$15),0))</f>
        <v/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 t="str">
        <f ca="1">IF($D45&lt;&gt;"Serviço","",IF(AUTOEVENTO="manual",$A45,IF(ISERROR(MATCH($A45,$A$15:OFFSET($A45,-1,0),0)),MAX($M$15:OFFSET(M45,-1,0))+1,INDEX($M$15:OFFSET(M45,-1,0),MATCH($A45,$A$15:OFFSET($A45,-1,0),0)))))</f>
        <v/>
      </c>
      <c r="N45" s="212" t="str">
        <f ca="1">IF($D45&lt;&gt;"Serviço","",IF(AUTOEVENTO="Manual",IF($A45=0,"&lt;-- defina o número do agrupador",OFFSET(EVENTOS!$D$14,$A45,0)),OFFSET($F$15,$A45,0)))</f>
        <v/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0</v>
      </c>
      <c r="AN45" s="216">
        <f ca="1">IF($D45&lt;&gt;"Serviço",0,IF(AND(AUTOEVENTO="Manual",$M45=1),0,IF(OFFSET(CRONOPLE!$F$14,$M45,AN$13)="",10^12,OFFSET(CRONOPLE!$F$14,$M45,AN$13))))</f>
        <v>0</v>
      </c>
      <c r="AO45" s="216">
        <f ca="1">IF($D45&lt;&gt;"Serviço",0,IF(AND(AUTOEVENTO="Manual",$M45=1),0,IF(OFFSET(CRONOPLE!$F$14,$M45,AO$13)="",10^12,OFFSET(CRONOPLE!$F$14,$M45,AO$13))))</f>
        <v>0</v>
      </c>
      <c r="AP45" s="216">
        <f ca="1">IF($D45&lt;&gt;"Serviço",0,IF(AND(AUTOEVENTO="Manual",$M45=1),0,IF(OFFSET(CRONOPLE!$F$14,$M45,AP$13)="",10^12,OFFSET(CRONOPLE!$F$14,$M45,AP$13))))</f>
        <v>0</v>
      </c>
      <c r="AQ45" s="216">
        <f ca="1">IF($D45&lt;&gt;"Serviço",0,IF(AND(AUTOEVENTO="Manual",$M45=1),0,IF(OFFSET(CRONOPLE!$F$14,$M45,AQ$13)="",10^12,OFFSET(CRONOPLE!$F$14,$M45,AQ$13))))</f>
        <v>0</v>
      </c>
      <c r="AR45" s="216">
        <f ca="1">IF($D45&lt;&gt;"Serviço",0,IF(AND(AUTOEVENTO="Manual",$M45=1),0,IF(OFFSET(CRONOPLE!$F$14,$M45,AR$13)="",10^12,OFFSET(CRONOPLE!$F$14,$M45,AR$13))))</f>
        <v>0</v>
      </c>
      <c r="AS45" s="216">
        <f ca="1">IF($D45&lt;&gt;"Serviço",0,IF(AND(AUTOEVENTO="Manual",$M45=1),0,IF(OFFSET(CRONOPLE!$F$14,$M45,AS$13)="",10^12,OFFSET(CRONOPLE!$F$14,$M45,AS$13))))</f>
        <v>0</v>
      </c>
      <c r="AT45" s="216">
        <f ca="1">IF($D45&lt;&gt;"Serviço",0,IF(AND(AUTOEVENTO="Manual",$M45=1),0,IF(OFFSET(CRONOPLE!$F$14,$M45,AT$13)="",10^12,OFFSET(CRONOPLE!$F$14,$M45,AT$13))))</f>
        <v>0</v>
      </c>
      <c r="AU45" s="216">
        <f ca="1">IF($D45&lt;&gt;"Serviço",0,IF(AND(AUTOEVENTO="Manual",$M45=1),0,IF(OFFSET(CRONOPLE!$F$14,$M45,AU$13)="",10^12,OFFSET(CRONOPLE!$F$14,$M45,AU$13))))</f>
        <v>0</v>
      </c>
      <c r="AV45" s="216">
        <f ca="1">IF($D45&lt;&gt;"Serviço",0,IF(AND(AUTOEVENTO="Manual",$M45=1),0,IF(OFFSET(CRONOPLE!$F$14,$M45,AV$13)="",10^12,OFFSET(CRONOPLE!$F$14,$M45,AV$13))))</f>
        <v>0</v>
      </c>
      <c r="AX45" s="217">
        <f ca="1">IF($D45&lt;&gt;"Serviço",0,IF(OR(AND(AUTOEVENTO="Manual",$M45=1),$M45&gt;(ROW(PLE.lastrow)-ROW(PLE.firstrow))),0,IF(OFFSET(PLE!$G$14,$M45,AX$13)="",10^12,OFFSET(PLE!$G$14,$M45,AX$13))))</f>
        <v>0</v>
      </c>
      <c r="AY45" s="217">
        <f ca="1">IF($D45&lt;&gt;"Serviço",0,IF(OR(AND(AUTOEVENTO="Manual",$M45=1),$M45&gt;(ROW(PLE.lastrow)-ROW(PLE.firstrow))),0,IF(OFFSET(PLE!$G$14,$M45,AY$13)="",10^12,OFFSET(PLE!$G$14,$M45,AY$13))))</f>
        <v>0</v>
      </c>
      <c r="AZ45" s="217">
        <f ca="1">IF($D45&lt;&gt;"Serviço",0,IF(OR(AND(AUTOEVENTO="Manual",$M45=1),$M45&gt;(ROW(PLE.lastrow)-ROW(PLE.firstrow))),0,IF(OFFSET(PLE!$G$14,$M45,AZ$13)="",10^12,OFFSET(PLE!$G$14,$M45,AZ$13))))</f>
        <v>0</v>
      </c>
      <c r="BA45" s="217">
        <f ca="1">IF($D45&lt;&gt;"Serviço",0,IF(OR(AND(AUTOEVENTO="Manual",$M45=1),$M45&gt;(ROW(PLE.lastrow)-ROW(PLE.firstrow))),0,IF(OFFSET(PLE!$G$14,$M45,BA$13)="",10^12,OFFSET(PLE!$G$14,$M45,BA$13))))</f>
        <v>0</v>
      </c>
      <c r="BB45" s="217">
        <f ca="1">IF($D45&lt;&gt;"Serviço",0,IF(OR(AND(AUTOEVENTO="Manual",$M45=1),$M45&gt;(ROW(PLE.lastrow)-ROW(PLE.firstrow))),0,IF(OFFSET(PLE!$G$14,$M45,BB$13)="",10^12,OFFSET(PLE!$G$14,$M45,BB$13))))</f>
        <v>0</v>
      </c>
      <c r="BC45" s="217">
        <f ca="1">IF($D45&lt;&gt;"Serviço",0,IF(OR(AND(AUTOEVENTO="Manual",$M45=1),$M45&gt;(ROW(PLE.lastrow)-ROW(PLE.firstrow))),0,IF(OFFSET(PLE!$G$14,$M45,BC$13)="",10^12,OFFSET(PLE!$G$14,$M45,BC$13))))</f>
        <v>0</v>
      </c>
      <c r="BD45" s="217">
        <f ca="1">IF($D45&lt;&gt;"Serviço",0,IF(OR(AND(AUTOEVENTO="Manual",$M45=1),$M45&gt;(ROW(PLE.lastrow)-ROW(PLE.firstrow))),0,IF(OFFSET(PLE!$G$14,$M45,BD$13)="",10^12,OFFSET(PLE!$G$14,$M45,BD$13))))</f>
        <v>0</v>
      </c>
      <c r="BE45" s="217">
        <f ca="1">IF($D45&lt;&gt;"Serviço",0,IF(OR(AND(AUTOEVENTO="Manual",$M45=1),$M45&gt;(ROW(PLE.lastrow)-ROW(PLE.firstrow))),0,IF(OFFSET(PLE!$G$14,$M45,BE$13)="",10^12,OFFSET(PLE!$G$14,$M45,BE$13))))</f>
        <v>0</v>
      </c>
      <c r="BF45" s="217">
        <f ca="1">IF($D45&lt;&gt;"Serviço",0,IF(OR(AND(AUTOEVENTO="Manual",$M45=1),$M45&gt;(ROW(PLE.lastrow)-ROW(PLE.firstrow))),0,IF(OFFSET(PLE!$G$14,$M45,BF$13)="",10^12,OFFSET(PLE!$G$14,$M45,BF$13))))</f>
        <v>0</v>
      </c>
      <c r="BG45" s="217">
        <f ca="1">IF($D45&lt;&gt;"Serviço",0,IF(OR(AND(AUTOEVENTO="Manual",$M45=1),$M45&gt;(ROW(PLE.lastrow)-ROW(PLE.firstrow))),0,IF(OFFSET(PLE!$G$14,$M45,BG$13)="",10^12,OFFSET(PLE!$G$14,$M45,BG$13))))</f>
        <v>0</v>
      </c>
    </row>
    <row r="46" spans="1:59" ht="38.25" x14ac:dyDescent="0.2">
      <c r="A46" s="9" t="str">
        <f t="shared" ca="1" si="8"/>
        <v>30</v>
      </c>
      <c r="B46" s="9" t="str">
        <f ca="1">OFFSET(ORÇAMENTO!C$15,ROW(B46)-ROW(B$15),0)</f>
        <v>S</v>
      </c>
      <c r="C46" s="9" t="str">
        <f ca="1">OFFSET(ORÇAMENTO!L$15,ROW(C46)-ROW(C$15),0)</f>
        <v>F</v>
      </c>
      <c r="D46" s="146" t="str">
        <f ca="1">OFFSET(ORÇAMENTO!N$15,ROW(D46)-ROW(D$15),0)</f>
        <v>Serviço</v>
      </c>
      <c r="E46" s="206" t="str">
        <f ca="1">OFFSET(ORÇAMENTO!O$15,ROW(E46)-ROW(E$15),0)</f>
        <v>1.2.1.</v>
      </c>
      <c r="F46" s="207" t="str">
        <f ca="1">OFFSET(ORÇAMENTO!R$15,ROW(F46)-ROW(F$15),0)</f>
        <v>(abra o arquivo 'Referência 05-2023.xls)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48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3</v>
      </c>
      <c r="N46" s="212" t="str">
        <f ca="1">IF($D46&lt;&gt;"Serviço","",IF(AUTOEVENTO="Manual",IF($A46=0,"&lt;-- defina o número do agrupador",OFFSET(EVENTOS!$D$14,$A46,0)),OFFSET($F$15,$A46,0)))</f>
        <v>INFRAESTRUTURA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38.25" x14ac:dyDescent="0.2">
      <c r="A47" s="9" t="str">
        <f t="shared" ca="1" si="8"/>
        <v>30</v>
      </c>
      <c r="B47" s="9" t="str">
        <f ca="1">OFFSET(ORÇAMENTO!C$15,ROW(B47)-ROW(B$15),0)</f>
        <v>S</v>
      </c>
      <c r="C47" s="9" t="str">
        <f ca="1">OFFSET(ORÇAMENTO!L$15,ROW(C47)-ROW(C$15),0)</f>
        <v>F</v>
      </c>
      <c r="D47" s="146" t="str">
        <f ca="1">OFFSET(ORÇAMENTO!N$15,ROW(D47)-ROW(D$15),0)</f>
        <v>Serviço</v>
      </c>
      <c r="E47" s="206" t="str">
        <f ca="1">OFFSET(ORÇAMENTO!O$15,ROW(E47)-ROW(E$15),0)</f>
        <v>1.2.2.</v>
      </c>
      <c r="F47" s="207" t="str">
        <f ca="1">OFFSET(ORÇAMENTO!R$15,ROW(F47)-ROW(F$15),0)</f>
        <v>(abra o arquivo 'Referência 05-2023.xls)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3.45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3</v>
      </c>
      <c r="N47" s="212" t="str">
        <f ca="1">IF($D47&lt;&gt;"Serviço","",IF(AUTOEVENTO="Manual",IF($A47=0,"&lt;-- defina o número do agrupador",OFFSET(EVENTOS!$D$14,$A47,0)),OFFSET($F$15,$A47,0)))</f>
        <v>INFRAESTRUTURA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30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(abra o arquivo 'Referência 05-2023.xls)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3</v>
      </c>
      <c r="N48" s="212" t="str">
        <f ca="1">IF($D48&lt;&gt;"Serviço","",IF(AUTOEVENTO="Manual",IF($A48=0,"&lt;-- defina o número do agrupador",OFFSET(EVENTOS!$D$14,$A48,0)),OFFSET($F$15,$A48,0)))</f>
        <v>INFRAESTRUTURA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25.5" x14ac:dyDescent="0.2">
      <c r="A49" s="9" t="str">
        <f t="shared" ca="1" si="8"/>
        <v>30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6" t="str">
        <f ca="1">OFFSET(ORÇAMENTO!N$15,ROW(D49)-ROW(D$15),0)</f>
        <v>Serviço</v>
      </c>
      <c r="E49" s="206" t="str">
        <f ca="1">OFFSET(ORÇAMENTO!O$15,ROW(E49)-ROW(E$15),0)</f>
        <v>1.2.3.</v>
      </c>
      <c r="F49" s="207" t="str">
        <f ca="1">OFFSET(ORÇAMENTO!R$15,ROW(F49)-ROW(F$15),0)</f>
        <v>(abra o arquivo 'Referência 05-2023.xls)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101.8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3</v>
      </c>
      <c r="N49" s="212" t="str">
        <f ca="1">IF($D49&lt;&gt;"Serviço","",IF(AUTOEVENTO="Manual",IF($A49=0,"&lt;-- defina o número do agrupador",OFFSET(EVENTOS!$D$14,$A49,0)),OFFSET($F$15,$A49,0)))</f>
        <v>INFRAESTRUTURA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38.25" x14ac:dyDescent="0.2">
      <c r="A50" s="9" t="str">
        <f t="shared" ca="1" si="8"/>
        <v>30</v>
      </c>
      <c r="B50" s="9" t="str">
        <f ca="1">OFFSET(ORÇAMENTO!C$15,ROW(B50)-ROW(B$15),0)</f>
        <v>S</v>
      </c>
      <c r="C50" s="9" t="str">
        <f ca="1">OFFSET(ORÇAMENTO!L$15,ROW(C50)-ROW(C$15),0)</f>
        <v>F</v>
      </c>
      <c r="D50" s="146" t="str">
        <f ca="1">OFFSET(ORÇAMENTO!N$15,ROW(D50)-ROW(D$15),0)</f>
        <v>Serviço</v>
      </c>
      <c r="E50" s="206" t="str">
        <f ca="1">OFFSET(ORÇAMENTO!O$15,ROW(E50)-ROW(E$15),0)</f>
        <v>1.2.4.</v>
      </c>
      <c r="F50" s="207" t="str">
        <f ca="1">OFFSET(ORÇAMENTO!R$15,ROW(F50)-ROW(F$15),0)</f>
        <v>(abra o arquivo 'Referência 05-2023.xls)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3.42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3</v>
      </c>
      <c r="N50" s="212" t="str">
        <f ca="1">IF($D50&lt;&gt;"Serviço","",IF(AUTOEVENTO="Manual",IF($A50=0,"&lt;-- defina o número do agrupador",OFFSET(EVENTOS!$D$14,$A50,0)),OFFSET($F$15,$A50,0)))</f>
        <v>INFRAESTRUTURA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25.5" x14ac:dyDescent="0.2">
      <c r="A51" s="9" t="str">
        <f t="shared" ca="1" si="8"/>
        <v>30</v>
      </c>
      <c r="B51" s="9" t="str">
        <f ca="1">OFFSET(ORÇAMENTO!C$15,ROW(B51)-ROW(B$15),0)</f>
        <v>S</v>
      </c>
      <c r="C51" s="9" t="str">
        <f ca="1">OFFSET(ORÇAMENTO!L$15,ROW(C51)-ROW(C$15),0)</f>
        <v>F</v>
      </c>
      <c r="D51" s="146" t="str">
        <f ca="1">OFFSET(ORÇAMENTO!N$15,ROW(D51)-ROW(D$15),0)</f>
        <v>Serviço</v>
      </c>
      <c r="E51" s="206" t="str">
        <f ca="1">OFFSET(ORÇAMENTO!O$15,ROW(E51)-ROW(E$15),0)</f>
        <v>1.2.5.</v>
      </c>
      <c r="F51" s="207" t="str">
        <f ca="1">OFFSET(ORÇAMENTO!R$15,ROW(F51)-ROW(F$15),0)</f>
        <v>(abra o arquivo 'Referência 05-2023.xls)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7.66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3</v>
      </c>
      <c r="N51" s="212" t="str">
        <f ca="1">IF($D51&lt;&gt;"Serviço","",IF(AUTOEVENTO="Manual",IF($A51=0,"&lt;-- defina o número do agrupador",OFFSET(EVENTOS!$D$14,$A51,0)),OFFSET($F$15,$A51,0)))</f>
        <v>INFRAESTRUTURA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30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(abra o arquivo 'Referência 05-2023.xls)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3</v>
      </c>
      <c r="N52" s="212" t="str">
        <f ca="1">IF($D52&lt;&gt;"Serviço","",IF(AUTOEVENTO="Manual",IF($A52=0,"&lt;-- defina o número do agrupador",OFFSET(EVENTOS!$D$14,$A52,0)),OFFSET($F$15,$A52,0)))</f>
        <v>INFRAESTRUTURA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25.5" x14ac:dyDescent="0.2">
      <c r="A53" s="9" t="str">
        <f t="shared" ca="1" si="8"/>
        <v>30</v>
      </c>
      <c r="B53" s="9" t="str">
        <f ca="1">OFFSET(ORÇAMENTO!C$15,ROW(B53)-ROW(B$15),0)</f>
        <v>S</v>
      </c>
      <c r="C53" s="9" t="str">
        <f ca="1">OFFSET(ORÇAMENTO!L$15,ROW(C53)-ROW(C$15),0)</f>
        <v>F</v>
      </c>
      <c r="D53" s="146" t="str">
        <f ca="1">OFFSET(ORÇAMENTO!N$15,ROW(D53)-ROW(D$15),0)</f>
        <v>Serviço</v>
      </c>
      <c r="E53" s="206" t="str">
        <f ca="1">OFFSET(ORÇAMENTO!O$15,ROW(E53)-ROW(E$15),0)</f>
        <v>1.2.6.</v>
      </c>
      <c r="F53" s="207" t="str">
        <f ca="1">OFFSET(ORÇAMENTO!R$15,ROW(F53)-ROW(F$15),0)</f>
        <v>(abra o arquivo 'Referência 05-2023.xls)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7.2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3</v>
      </c>
      <c r="N53" s="212" t="str">
        <f ca="1">IF($D53&lt;&gt;"Serviço","",IF(AUTOEVENTO="Manual",IF($A53=0,"&lt;-- defina o número do agrupador",OFFSET(EVENTOS!$D$14,$A53,0)),OFFSET($F$15,$A53,0)))</f>
        <v>INFRAESTRUTURA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30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(abra o arquivo 'Referência 05-2023.xls)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3</v>
      </c>
      <c r="N54" s="212" t="str">
        <f ca="1">IF($D54&lt;&gt;"Serviço","",IF(AUTOEVENTO="Manual",IF($A54=0,"&lt;-- defina o número do agrupador",OFFSET(EVENTOS!$D$14,$A54,0)),OFFSET($F$15,$A54,0)))</f>
        <v>INFRAESTRUTURA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9" t="str">
        <f t="shared" ca="1" si="8"/>
        <v>30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(abra o arquivo 'Referência 05-2023.xls)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3</v>
      </c>
      <c r="N55" s="212" t="str">
        <f ca="1">IF($D55&lt;&gt;"Serviço","",IF(AUTOEVENTO="Manual",IF($A55=0,"&lt;-- defina o número do agrupador",OFFSET(EVENTOS!$D$14,$A55,0)),OFFSET($F$15,$A55,0)))</f>
        <v>INFRAESTRUTURA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30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(abra o arquivo 'Referência 05-2023.xls)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3</v>
      </c>
      <c r="N56" s="212" t="str">
        <f ca="1">IF($D56&lt;&gt;"Serviço","",IF(AUTOEVENTO="Manual",IF($A56=0,"&lt;-- defina o número do agrupador",OFFSET(EVENTOS!$D$14,$A56,0)),OFFSET($F$15,$A56,0)))</f>
        <v>INFRAESTRUTURA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30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(abra o arquivo 'Referência 05-2023.xls)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3</v>
      </c>
      <c r="N57" s="212" t="str">
        <f ca="1">IF($D57&lt;&gt;"Serviço","",IF(AUTOEVENTO="Manual",IF($A57=0,"&lt;-- defina o número do agrupador",OFFSET(EVENTOS!$D$14,$A57,0)),OFFSET($F$15,$A57,0)))</f>
        <v>INFRAESTRUTURA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30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(abra o arquivo 'Referência 05-2023.xls)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3</v>
      </c>
      <c r="N58" s="212" t="str">
        <f ca="1">IF($D58&lt;&gt;"Serviço","",IF(AUTOEVENTO="Manual",IF($A58=0,"&lt;-- defina o número do agrupador",OFFSET(EVENTOS!$D$14,$A58,0)),OFFSET($F$15,$A58,0)))</f>
        <v>INFRAESTRUTURA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30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(abra o arquivo 'Referência 05-2023.xls)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3</v>
      </c>
      <c r="N59" s="212" t="str">
        <f ca="1">IF($D59&lt;&gt;"Serviço","",IF(AUTOEVENTO="Manual",IF($A59=0,"&lt;-- defina o número do agrupador",OFFSET(EVENTOS!$D$14,$A59,0)),OFFSET($F$15,$A59,0)))</f>
        <v>INFRAESTRUTURA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30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(abra o arquivo 'Referência 05-2023.xls)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3</v>
      </c>
      <c r="N60" s="212" t="str">
        <f ca="1">IF($D60&lt;&gt;"Serviço","",IF(AUTOEVENTO="Manual",IF($A60=0,"&lt;-- defina o número do agrupador",OFFSET(EVENTOS!$D$14,$A60,0)),OFFSET($F$15,$A60,0)))</f>
        <v>INFRAESTRUTURA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30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(abra o arquivo 'Referência 05-2023.xls)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3</v>
      </c>
      <c r="N61" s="212" t="str">
        <f ca="1">IF($D61&lt;&gt;"Serviço","",IF(AUTOEVENTO="Manual",IF($A61=0,"&lt;-- defina o número do agrupador",OFFSET(EVENTOS!$D$14,$A61,0)),OFFSET($F$15,$A61,0)))</f>
        <v>INFRAESTRUTURA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30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(abra o arquivo 'Referência 05-2023.xls)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3</v>
      </c>
      <c r="N62" s="212" t="str">
        <f ca="1">IF($D62&lt;&gt;"Serviço","",IF(AUTOEVENTO="Manual",IF($A62=0,"&lt;-- defina o número do agrupador",OFFSET(EVENTOS!$D$14,$A62,0)),OFFSET($F$15,$A62,0)))</f>
        <v>INFRAESTRUTURA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30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(abra o arquivo 'Referência 05-2023.xls)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3</v>
      </c>
      <c r="N63" s="212" t="str">
        <f ca="1">IF($D63&lt;&gt;"Serviço","",IF(AUTOEVENTO="Manual",IF($A63=0,"&lt;-- defina o número do agrupador",OFFSET(EVENTOS!$D$14,$A63,0)),OFFSET($F$15,$A63,0)))</f>
        <v>INFRAESTRUTURA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30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(abra o arquivo 'Referência 05-2023.xls)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3</v>
      </c>
      <c r="N64" s="212" t="str">
        <f ca="1">IF($D64&lt;&gt;"Serviço","",IF(AUTOEVENTO="Manual",IF($A64=0,"&lt;-- defina o número do agrupador",OFFSET(EVENTOS!$D$14,$A64,0)),OFFSET($F$15,$A64,0)))</f>
        <v>INFRAESTRUTURA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30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(abra o arquivo 'Referência 05-2023.xls)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3</v>
      </c>
      <c r="N65" s="212" t="str">
        <f ca="1">IF($D65&lt;&gt;"Serviço","",IF(AUTOEVENTO="Manual",IF($A65=0,"&lt;-- defina o número do agrupador",OFFSET(EVENTOS!$D$14,$A65,0)),OFFSET($F$15,$A65,0)))</f>
        <v>INFRAESTRUTURA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30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(abra o arquivo 'Referência 05-2023.xls)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3</v>
      </c>
      <c r="N66" s="212" t="str">
        <f ca="1">IF($D66&lt;&gt;"Serviço","",IF(AUTOEVENTO="Manual",IF($A66=0,"&lt;-- defina o número do agrupador",OFFSET(EVENTOS!$D$14,$A66,0)),OFFSET($F$15,$A66,0)))</f>
        <v>INFRAESTRUTURA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30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(abra o arquivo 'Referência 05-2023.xls)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3</v>
      </c>
      <c r="N67" s="212" t="str">
        <f ca="1">IF($D67&lt;&gt;"Serviço","",IF(AUTOEVENTO="Manual",IF($A67=0,"&lt;-- defina o número do agrupador",OFFSET(EVENTOS!$D$14,$A67,0)),OFFSET($F$15,$A67,0)))</f>
        <v>INFRAESTRUTURA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9" t="str">
        <f t="shared" ca="1" si="8"/>
        <v>30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(abra o arquivo 'Referência 05-2023.xls)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3</v>
      </c>
      <c r="N68" s="212" t="str">
        <f ca="1">IF($D68&lt;&gt;"Serviço","",IF(AUTOEVENTO="Manual",IF($A68=0,"&lt;-- defina o número do agrupador",OFFSET(EVENTOS!$D$14,$A68,0)),OFFSET($F$15,$A68,0)))</f>
        <v>INFRAESTRUTURA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30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(abra o arquivo 'Referência 05-2023.xls)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3</v>
      </c>
      <c r="N69" s="212" t="str">
        <f ca="1">IF($D69&lt;&gt;"Serviço","",IF(AUTOEVENTO="Manual",IF($A69=0,"&lt;-- defina o número do agrupador",OFFSET(EVENTOS!$D$14,$A69,0)),OFFSET($F$15,$A69,0)))</f>
        <v>INFRAESTRUTURA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55.</v>
      </c>
      <c r="B70" s="9">
        <f ca="1">OFFSET(ORÇAMENTO!C$15,ROW(B70)-ROW(B$15),0)</f>
        <v>2</v>
      </c>
      <c r="C70" s="9" t="str">
        <f ca="1">OFFSET(ORÇAMENTO!L$15,ROW(C70)-ROW(C$15),0)</f>
        <v>F</v>
      </c>
      <c r="D70" s="146" t="str">
        <f ca="1">OFFSET(ORÇAMENTO!N$15,ROW(D70)-ROW(D$15),0)</f>
        <v>Nível 2</v>
      </c>
      <c r="E70" s="206" t="str">
        <f ca="1">OFFSET(ORÇAMENTO!O$15,ROW(E70)-ROW(E$15),0)</f>
        <v>1.3.</v>
      </c>
      <c r="F70" s="207" t="str">
        <f ca="1">OFFSET(ORÇAMENTO!R$15,ROW(F70)-ROW(F$15),0)</f>
        <v>SUPRAESTRUTURA</v>
      </c>
      <c r="G70" s="208" t="str">
        <f ca="1">IF($D70&lt;&gt;"Serviço","",OFFSET(ORÇAMENTO!S$15,ROW(G70)-ROW(G$15),0))</f>
        <v/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 t="str">
        <f ca="1">IF($D70&lt;&gt;"Serviço","",IF(AUTOEVENTO="manual",$A70,IF(ISERROR(MATCH($A70,$A$15:OFFSET($A70,-1,0),0)),MAX($M$15:OFFSET(M70,-1,0))+1,INDEX($M$15:OFFSET(M70,-1,0),MATCH($A70,$A$15:OFFSET($A70,-1,0),0)))))</f>
        <v/>
      </c>
      <c r="N70" s="212" t="str">
        <f ca="1">IF($D70&lt;&gt;"Serviço","",IF(AUTOEVENTO="Manual",IF($A70=0,"&lt;-- defina o número do agrupador",OFFSET(EVENTOS!$D$14,$A70,0)),OFFSET($F$15,$A70,0)))</f>
        <v/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0</v>
      </c>
      <c r="AN70" s="216">
        <f ca="1">IF($D70&lt;&gt;"Serviço",0,IF(AND(AUTOEVENTO="Manual",$M70=1),0,IF(OFFSET(CRONOPLE!$F$14,$M70,AN$13)="",10^12,OFFSET(CRONOPLE!$F$14,$M70,AN$13))))</f>
        <v>0</v>
      </c>
      <c r="AO70" s="216">
        <f ca="1">IF($D70&lt;&gt;"Serviço",0,IF(AND(AUTOEVENTO="Manual",$M70=1),0,IF(OFFSET(CRONOPLE!$F$14,$M70,AO$13)="",10^12,OFFSET(CRONOPLE!$F$14,$M70,AO$13))))</f>
        <v>0</v>
      </c>
      <c r="AP70" s="216">
        <f ca="1">IF($D70&lt;&gt;"Serviço",0,IF(AND(AUTOEVENTO="Manual",$M70=1),0,IF(OFFSET(CRONOPLE!$F$14,$M70,AP$13)="",10^12,OFFSET(CRONOPLE!$F$14,$M70,AP$13))))</f>
        <v>0</v>
      </c>
      <c r="AQ70" s="216">
        <f ca="1">IF($D70&lt;&gt;"Serviço",0,IF(AND(AUTOEVENTO="Manual",$M70=1),0,IF(OFFSET(CRONOPLE!$F$14,$M70,AQ$13)="",10^12,OFFSET(CRONOPLE!$F$14,$M70,AQ$13))))</f>
        <v>0</v>
      </c>
      <c r="AR70" s="216">
        <f ca="1">IF($D70&lt;&gt;"Serviço",0,IF(AND(AUTOEVENTO="Manual",$M70=1),0,IF(OFFSET(CRONOPLE!$F$14,$M70,AR$13)="",10^12,OFFSET(CRONOPLE!$F$14,$M70,AR$13))))</f>
        <v>0</v>
      </c>
      <c r="AS70" s="216">
        <f ca="1">IF($D70&lt;&gt;"Serviço",0,IF(AND(AUTOEVENTO="Manual",$M70=1),0,IF(OFFSET(CRONOPLE!$F$14,$M70,AS$13)="",10^12,OFFSET(CRONOPLE!$F$14,$M70,AS$13))))</f>
        <v>0</v>
      </c>
      <c r="AT70" s="216">
        <f ca="1">IF($D70&lt;&gt;"Serviço",0,IF(AND(AUTOEVENTO="Manual",$M70=1),0,IF(OFFSET(CRONOPLE!$F$14,$M70,AT$13)="",10^12,OFFSET(CRONOPLE!$F$14,$M70,AT$13))))</f>
        <v>0</v>
      </c>
      <c r="AU70" s="216">
        <f ca="1">IF($D70&lt;&gt;"Serviço",0,IF(AND(AUTOEVENTO="Manual",$M70=1),0,IF(OFFSET(CRONOPLE!$F$14,$M70,AU$13)="",10^12,OFFSET(CRONOPLE!$F$14,$M70,AU$13))))</f>
        <v>0</v>
      </c>
      <c r="AV70" s="216">
        <f ca="1">IF($D70&lt;&gt;"Serviço",0,IF(AND(AUTOEVENTO="Manual",$M70=1),0,IF(OFFSET(CRONOPLE!$F$14,$M70,AV$13)="",10^12,OFFSET(CRONOPLE!$F$14,$M70,AV$13))))</f>
        <v>0</v>
      </c>
      <c r="AX70" s="217">
        <f ca="1">IF($D70&lt;&gt;"Serviço",0,IF(OR(AND(AUTOEVENTO="Manual",$M70=1),$M70&gt;(ROW(PLE.lastrow)-ROW(PLE.firstrow))),0,IF(OFFSET(PLE!$G$14,$M70,AX$13)="",10^12,OFFSET(PLE!$G$14,$M70,AX$13))))</f>
        <v>0</v>
      </c>
      <c r="AY70" s="217">
        <f ca="1">IF($D70&lt;&gt;"Serviço",0,IF(OR(AND(AUTOEVENTO="Manual",$M70=1),$M70&gt;(ROW(PLE.lastrow)-ROW(PLE.firstrow))),0,IF(OFFSET(PLE!$G$14,$M70,AY$13)="",10^12,OFFSET(PLE!$G$14,$M70,AY$13))))</f>
        <v>0</v>
      </c>
      <c r="AZ70" s="217">
        <f ca="1">IF($D70&lt;&gt;"Serviço",0,IF(OR(AND(AUTOEVENTO="Manual",$M70=1),$M70&gt;(ROW(PLE.lastrow)-ROW(PLE.firstrow))),0,IF(OFFSET(PLE!$G$14,$M70,AZ$13)="",10^12,OFFSET(PLE!$G$14,$M70,AZ$13))))</f>
        <v>0</v>
      </c>
      <c r="BA70" s="217">
        <f ca="1">IF($D70&lt;&gt;"Serviço",0,IF(OR(AND(AUTOEVENTO="Manual",$M70=1),$M70&gt;(ROW(PLE.lastrow)-ROW(PLE.firstrow))),0,IF(OFFSET(PLE!$G$14,$M70,BA$13)="",10^12,OFFSET(PLE!$G$14,$M70,BA$13))))</f>
        <v>0</v>
      </c>
      <c r="BB70" s="217">
        <f ca="1">IF($D70&lt;&gt;"Serviço",0,IF(OR(AND(AUTOEVENTO="Manual",$M70=1),$M70&gt;(ROW(PLE.lastrow)-ROW(PLE.firstrow))),0,IF(OFFSET(PLE!$G$14,$M70,BB$13)="",10^12,OFFSET(PLE!$G$14,$M70,BB$13))))</f>
        <v>0</v>
      </c>
      <c r="BC70" s="217">
        <f ca="1">IF($D70&lt;&gt;"Serviço",0,IF(OR(AND(AUTOEVENTO="Manual",$M70=1),$M70&gt;(ROW(PLE.lastrow)-ROW(PLE.firstrow))),0,IF(OFFSET(PLE!$G$14,$M70,BC$13)="",10^12,OFFSET(PLE!$G$14,$M70,BC$13))))</f>
        <v>0</v>
      </c>
      <c r="BD70" s="217">
        <f ca="1">IF($D70&lt;&gt;"Serviço",0,IF(OR(AND(AUTOEVENTO="Manual",$M70=1),$M70&gt;(ROW(PLE.lastrow)-ROW(PLE.firstrow))),0,IF(OFFSET(PLE!$G$14,$M70,BD$13)="",10^12,OFFSET(PLE!$G$14,$M70,BD$13))))</f>
        <v>0</v>
      </c>
      <c r="BE70" s="217">
        <f ca="1">IF($D70&lt;&gt;"Serviço",0,IF(OR(AND(AUTOEVENTO="Manual",$M70=1),$M70&gt;(ROW(PLE.lastrow)-ROW(PLE.firstrow))),0,IF(OFFSET(PLE!$G$14,$M70,BE$13)="",10^12,OFFSET(PLE!$G$14,$M70,BE$13))))</f>
        <v>0</v>
      </c>
      <c r="BF70" s="217">
        <f ca="1">IF($D70&lt;&gt;"Serviço",0,IF(OR(AND(AUTOEVENTO="Manual",$M70=1),$M70&gt;(ROW(PLE.lastrow)-ROW(PLE.firstrow))),0,IF(OFFSET(PLE!$G$14,$M70,BF$13)="",10^12,OFFSET(PLE!$G$14,$M70,BF$13))))</f>
        <v>0</v>
      </c>
      <c r="BG70" s="217">
        <f ca="1">IF($D70&lt;&gt;"Serviço",0,IF(OR(AND(AUTOEVENTO="Manual",$M70=1),$M70&gt;(ROW(PLE.lastrow)-ROW(PLE.firstrow))),0,IF(OFFSET(PLE!$G$14,$M70,BG$13)="",10^12,OFFSET(PLE!$G$14,$M70,BG$13))))</f>
        <v>0</v>
      </c>
    </row>
    <row r="71" spans="1:59" ht="38.25" x14ac:dyDescent="0.2">
      <c r="A71" s="9" t="str">
        <f t="shared" ca="1" si="8"/>
        <v>55</v>
      </c>
      <c r="B71" s="9" t="str">
        <f ca="1">OFFSET(ORÇAMENTO!C$15,ROW(B71)-ROW(B$15),0)</f>
        <v>S</v>
      </c>
      <c r="C71" s="9" t="str">
        <f ca="1">OFFSET(ORÇAMENTO!L$15,ROW(C71)-ROW(C$15),0)</f>
        <v>F</v>
      </c>
      <c r="D71" s="146" t="str">
        <f ca="1">OFFSET(ORÇAMENTO!N$15,ROW(D71)-ROW(D$15),0)</f>
        <v>Serviço</v>
      </c>
      <c r="E71" s="206" t="str">
        <f ca="1">OFFSET(ORÇAMENTO!O$15,ROW(E71)-ROW(E$15),0)</f>
        <v>1.3.1.</v>
      </c>
      <c r="F71" s="207" t="str">
        <f ca="1">OFFSET(ORÇAMENTO!R$15,ROW(F71)-ROW(F$15),0)</f>
        <v>(abra o arquivo 'Referência 05-2023.xls)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6.75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4</v>
      </c>
      <c r="N71" s="212" t="str">
        <f ca="1">IF($D71&lt;&gt;"Serviço","",IF(AUTOEVENTO="Manual",IF($A71=0,"&lt;-- defina o número do agrupador",OFFSET(EVENTOS!$D$14,$A71,0)),OFFSET($F$15,$A71,0)))</f>
        <v>SUPRAESTRUTURA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38.25" x14ac:dyDescent="0.2">
      <c r="A72" s="9" t="str">
        <f t="shared" ca="1" si="8"/>
        <v>55</v>
      </c>
      <c r="B72" s="9" t="str">
        <f ca="1">OFFSET(ORÇAMENTO!C$15,ROW(B72)-ROW(B$15),0)</f>
        <v>S</v>
      </c>
      <c r="C72" s="9" t="str">
        <f ca="1">OFFSET(ORÇAMENTO!L$15,ROW(C72)-ROW(C$15),0)</f>
        <v>F</v>
      </c>
      <c r="D72" s="146" t="str">
        <f ca="1">OFFSET(ORÇAMENTO!N$15,ROW(D72)-ROW(D$15),0)</f>
        <v>Serviço</v>
      </c>
      <c r="E72" s="206" t="str">
        <f ca="1">OFFSET(ORÇAMENTO!O$15,ROW(E72)-ROW(E$15),0)</f>
        <v>1.3.2.</v>
      </c>
      <c r="F72" s="207" t="str">
        <f ca="1">OFFSET(ORÇAMENTO!R$15,ROW(F72)-ROW(F$15),0)</f>
        <v>(abra o arquivo 'Referência 05-2023.xls)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134.69999999999999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4</v>
      </c>
      <c r="N72" s="212" t="str">
        <f ca="1">IF($D72&lt;&gt;"Serviço","",IF(AUTOEVENTO="Manual",IF($A72=0,"&lt;-- defina o número do agrupador",OFFSET(EVENTOS!$D$14,$A72,0)),OFFSET($F$15,$A72,0)))</f>
        <v>SUPRAESTRUTURA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55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(abra o arquivo 'Referência 05-2023.xls)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4</v>
      </c>
      <c r="N73" s="212" t="str">
        <f ca="1">IF($D73&lt;&gt;"Serviço","",IF(AUTOEVENTO="Manual",IF($A73=0,"&lt;-- defina o número do agrupador",OFFSET(EVENTOS!$D$14,$A73,0)),OFFSET($F$15,$A73,0)))</f>
        <v>SUPRAESTRUTURA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55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(abra o arquivo 'Referência 05-2023.xls)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4</v>
      </c>
      <c r="N74" s="212" t="str">
        <f ca="1">IF($D74&lt;&gt;"Serviço","",IF(AUTOEVENTO="Manual",IF($A74=0,"&lt;-- defina o número do agrupador",OFFSET(EVENTOS!$D$14,$A74,0)),OFFSET($F$15,$A74,0)))</f>
        <v>SUPRAESTRUTURA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55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(abra o arquivo 'Referência 05-2023.xls)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4</v>
      </c>
      <c r="N75" s="212" t="str">
        <f ca="1">IF($D75&lt;&gt;"Serviço","",IF(AUTOEVENTO="Manual",IF($A75=0,"&lt;-- defina o número do agrupador",OFFSET(EVENTOS!$D$14,$A75,0)),OFFSET($F$15,$A75,0)))</f>
        <v>SUPRAESTRUTURA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25.5" x14ac:dyDescent="0.2">
      <c r="A76" s="9" t="str">
        <f t="shared" ca="1" si="8"/>
        <v>55</v>
      </c>
      <c r="B76" s="9" t="str">
        <f ca="1">OFFSET(ORÇAMENTO!C$15,ROW(B76)-ROW(B$15),0)</f>
        <v>S</v>
      </c>
      <c r="C76" s="9" t="str">
        <f ca="1">OFFSET(ORÇAMENTO!L$15,ROW(C76)-ROW(C$15),0)</f>
        <v>F</v>
      </c>
      <c r="D76" s="146" t="str">
        <f ca="1">OFFSET(ORÇAMENTO!N$15,ROW(D76)-ROW(D$15),0)</f>
        <v>Serviço</v>
      </c>
      <c r="E76" s="206" t="str">
        <f ca="1">OFFSET(ORÇAMENTO!O$15,ROW(E76)-ROW(E$15),0)</f>
        <v>1.3.3.</v>
      </c>
      <c r="F76" s="207" t="str">
        <f ca="1">OFFSET(ORÇAMENTO!R$15,ROW(F76)-ROW(F$15),0)</f>
        <v>(abra o arquivo 'Referência 05-2023.xls)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172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4</v>
      </c>
      <c r="N76" s="212" t="str">
        <f ca="1">IF($D76&lt;&gt;"Serviço","",IF(AUTOEVENTO="Manual",IF($A76=0,"&lt;-- defina o número do agrupador",OFFSET(EVENTOS!$D$14,$A76,0)),OFFSET($F$15,$A76,0)))</f>
        <v>SUPRAESTRUTURA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25.5" x14ac:dyDescent="0.2">
      <c r="A77" s="9" t="str">
        <f t="shared" ca="1" si="8"/>
        <v>55</v>
      </c>
      <c r="B77" s="9" t="str">
        <f ca="1">OFFSET(ORÇAMENTO!C$15,ROW(B77)-ROW(B$15),0)</f>
        <v>S</v>
      </c>
      <c r="C77" s="9" t="str">
        <f ca="1">OFFSET(ORÇAMENTO!L$15,ROW(C77)-ROW(C$15),0)</f>
        <v>F</v>
      </c>
      <c r="D77" s="146" t="str">
        <f ca="1">OFFSET(ORÇAMENTO!N$15,ROW(D77)-ROW(D$15),0)</f>
        <v>Serviço</v>
      </c>
      <c r="E77" s="206" t="str">
        <f ca="1">OFFSET(ORÇAMENTO!O$15,ROW(E77)-ROW(E$15),0)</f>
        <v>1.3.4.</v>
      </c>
      <c r="F77" s="207" t="str">
        <f ca="1">OFFSET(ORÇAMENTO!R$15,ROW(F77)-ROW(F$15),0)</f>
        <v>(abra o arquivo 'Referência 05-2023.xls)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231.8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4</v>
      </c>
      <c r="N77" s="212" t="str">
        <f ca="1">IF($D77&lt;&gt;"Serviço","",IF(AUTOEVENTO="Manual",IF($A77=0,"&lt;-- defina o número do agrupador",OFFSET(EVENTOS!$D$14,$A77,0)),OFFSET($F$15,$A77,0)))</f>
        <v>SUPRAESTRUTURA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25.5" x14ac:dyDescent="0.2">
      <c r="A78" s="9" t="str">
        <f t="shared" ca="1" si="8"/>
        <v>55</v>
      </c>
      <c r="B78" s="9" t="str">
        <f ca="1">OFFSET(ORÇAMENTO!C$15,ROW(B78)-ROW(B$15),0)</f>
        <v>S</v>
      </c>
      <c r="C78" s="9" t="str">
        <f ca="1">OFFSET(ORÇAMENTO!L$15,ROW(C78)-ROW(C$15),0)</f>
        <v>F</v>
      </c>
      <c r="D78" s="146" t="str">
        <f ca="1">OFFSET(ORÇAMENTO!N$15,ROW(D78)-ROW(D$15),0)</f>
        <v>Serviço</v>
      </c>
      <c r="E78" s="206" t="str">
        <f ca="1">OFFSET(ORÇAMENTO!O$15,ROW(E78)-ROW(E$15),0)</f>
        <v>1.3.5.</v>
      </c>
      <c r="F78" s="207" t="str">
        <f ca="1">OFFSET(ORÇAMENTO!R$15,ROW(F78)-ROW(F$15),0)</f>
        <v>(abra o arquivo 'Referência 05-2023.xls)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197.5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4</v>
      </c>
      <c r="N78" s="212" t="str">
        <f ca="1">IF($D78&lt;&gt;"Serviço","",IF(AUTOEVENTO="Manual",IF($A78=0,"&lt;-- defina o número do agrupador",OFFSET(EVENTOS!$D$14,$A78,0)),OFFSET($F$15,$A78,0)))</f>
        <v>SUPRAESTRUTURA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55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(abra o arquivo 'Referência 05-2023.xls)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4</v>
      </c>
      <c r="N79" s="212" t="str">
        <f ca="1">IF($D79&lt;&gt;"Serviço","",IF(AUTOEVENTO="Manual",IF($A79=0,"&lt;-- defina o número do agrupador",OFFSET(EVENTOS!$D$14,$A79,0)),OFFSET($F$15,$A79,0)))</f>
        <v>SUPRAESTRUTURA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55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(abra o arquivo 'Referência 05-2023.xls)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4</v>
      </c>
      <c r="N80" s="212" t="str">
        <f ca="1">IF($D80&lt;&gt;"Serviço","",IF(AUTOEVENTO="Manual",IF($A80=0,"&lt;-- defina o número do agrupador",OFFSET(EVENTOS!$D$14,$A80,0)),OFFSET($F$15,$A80,0)))</f>
        <v>SUPRAESTRUTURA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55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(abra o arquivo 'Referência 05-2023.xls)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4</v>
      </c>
      <c r="N81" s="212" t="str">
        <f ca="1">IF($D81&lt;&gt;"Serviço","",IF(AUTOEVENTO="Manual",IF($A81=0,"&lt;-- defina o número do agrupador",OFFSET(EVENTOS!$D$14,$A81,0)),OFFSET($F$15,$A81,0)))</f>
        <v>SUPRAESTRUTURA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25.5" x14ac:dyDescent="0.2">
      <c r="A82" s="9" t="str">
        <f t="shared" ca="1" si="9"/>
        <v>55</v>
      </c>
      <c r="B82" s="9" t="str">
        <f ca="1">OFFSET(ORÇAMENTO!C$15,ROW(B82)-ROW(B$15),0)</f>
        <v>S</v>
      </c>
      <c r="C82" s="9" t="str">
        <f ca="1">OFFSET(ORÇAMENTO!L$15,ROW(C82)-ROW(C$15),0)</f>
        <v>F</v>
      </c>
      <c r="D82" s="146" t="str">
        <f ca="1">OFFSET(ORÇAMENTO!N$15,ROW(D82)-ROW(D$15),0)</f>
        <v>Serviço</v>
      </c>
      <c r="E82" s="206" t="str">
        <f ca="1">OFFSET(ORÇAMENTO!O$15,ROW(E82)-ROW(E$15),0)</f>
        <v>1.3.6.</v>
      </c>
      <c r="F82" s="207" t="str">
        <f ca="1">OFFSET(ORÇAMENTO!R$15,ROW(F82)-ROW(F$15),0)</f>
        <v>(abra o arquivo 'Referência 05-2023.xls)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2.75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4</v>
      </c>
      <c r="N82" s="212" t="str">
        <f ca="1">IF($D82&lt;&gt;"Serviço","",IF(AUTOEVENTO="Manual",IF($A82=0,"&lt;-- defina o número do agrupador",OFFSET(EVENTOS!$D$14,$A82,0)),OFFSET($F$15,$A82,0)))</f>
        <v>SUPRAESTRUTURA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55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(abra o arquivo 'Referência 05-2023.xls)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4</v>
      </c>
      <c r="N83" s="212" t="str">
        <f ca="1">IF($D83&lt;&gt;"Serviço","",IF(AUTOEVENTO="Manual",IF($A83=0,"&lt;-- defina o número do agrupador",OFFSET(EVENTOS!$D$14,$A83,0)),OFFSET($F$15,$A83,0)))</f>
        <v>SUPRAESTRUTURA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55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(abra o arquivo 'Referência 05-2023.xls)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4</v>
      </c>
      <c r="N84" s="212" t="str">
        <f ca="1">IF($D84&lt;&gt;"Serviço","",IF(AUTOEVENTO="Manual",IF($A84=0,"&lt;-- defina o número do agrupador",OFFSET(EVENTOS!$D$14,$A84,0)),OFFSET($F$15,$A84,0)))</f>
        <v>SUPRAESTRUTURA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55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(abra o arquivo 'Referência 05-2023.xls)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4</v>
      </c>
      <c r="N85" s="212" t="str">
        <f ca="1">IF($D85&lt;&gt;"Serviço","",IF(AUTOEVENTO="Manual",IF($A85=0,"&lt;-- defina o número do agrupador",OFFSET(EVENTOS!$D$14,$A85,0)),OFFSET($F$15,$A85,0)))</f>
        <v>SUPRAESTRUTURA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55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(abra o arquivo 'Referência 05-2023.xls)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4</v>
      </c>
      <c r="N86" s="212" t="str">
        <f ca="1">IF($D86&lt;&gt;"Serviço","",IF(AUTOEVENTO="Manual",IF($A86=0,"&lt;-- defina o número do agrupador",OFFSET(EVENTOS!$D$14,$A86,0)),OFFSET($F$15,$A86,0)))</f>
        <v>SUPRAESTRUTURA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55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(abra o arquivo 'Referência 05-2023.xls)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4</v>
      </c>
      <c r="N87" s="212" t="str">
        <f ca="1">IF($D87&lt;&gt;"Serviço","",IF(AUTOEVENTO="Manual",IF($A87=0,"&lt;-- defina o número do agrupador",OFFSET(EVENTOS!$D$14,$A87,0)),OFFSET($F$15,$A87,0)))</f>
        <v>SUPRAESTRUTURA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55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(abra o arquivo 'Referência 05-2023.xls)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4</v>
      </c>
      <c r="N88" s="212" t="str">
        <f ca="1">IF($D88&lt;&gt;"Serviço","",IF(AUTOEVENTO="Manual",IF($A88=0,"&lt;-- defina o número do agrupador",OFFSET(EVENTOS!$D$14,$A88,0)),OFFSET($F$15,$A88,0)))</f>
        <v>SUPRAESTRUTURA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55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(abra o arquivo 'Referência 05-2023.xls)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4</v>
      </c>
      <c r="N89" s="212" t="str">
        <f ca="1">IF($D89&lt;&gt;"Serviço","",IF(AUTOEVENTO="Manual",IF($A89=0,"&lt;-- defina o número do agrupador",OFFSET(EVENTOS!$D$14,$A89,0)),OFFSET($F$15,$A89,0)))</f>
        <v>SUPRAESTRUTURA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55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(abra o arquivo 'Referência 05-2023.xls)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4</v>
      </c>
      <c r="N90" s="212" t="str">
        <f ca="1">IF($D90&lt;&gt;"Serviço","",IF(AUTOEVENTO="Manual",IF($A90=0,"&lt;-- defina o número do agrupador",OFFSET(EVENTOS!$D$14,$A90,0)),OFFSET($F$15,$A90,0)))</f>
        <v>SUPRAESTRUTURA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55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(abra o arquivo 'Referência 05-2023.xls)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4</v>
      </c>
      <c r="N91" s="212" t="str">
        <f ca="1">IF($D91&lt;&gt;"Serviço","",IF(AUTOEVENTO="Manual",IF($A91=0,"&lt;-- defina o número do agrupador",OFFSET(EVENTOS!$D$14,$A91,0)),OFFSET($F$15,$A91,0)))</f>
        <v>SUPRAESTRUTURA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55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(abra o arquivo 'Referência 05-2023.xls)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4</v>
      </c>
      <c r="N92" s="212" t="str">
        <f ca="1">IF($D92&lt;&gt;"Serviço","",IF(AUTOEVENTO="Manual",IF($A92=0,"&lt;-- defina o número do agrupador",OFFSET(EVENTOS!$D$14,$A92,0)),OFFSET($F$15,$A92,0)))</f>
        <v>SUPRAESTRUTURA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55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(abra o arquivo 'Referência 05-2023.xls)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4</v>
      </c>
      <c r="N93" s="212" t="str">
        <f ca="1">IF($D93&lt;&gt;"Serviço","",IF(AUTOEVENTO="Manual",IF($A93=0,"&lt;-- defina o número do agrupador",OFFSET(EVENTOS!$D$14,$A93,0)),OFFSET($F$15,$A93,0)))</f>
        <v>SUPRAESTRUTURA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55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(abra o arquivo 'Referência 05-2023.xls)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4</v>
      </c>
      <c r="N94" s="212" t="str">
        <f ca="1">IF($D94&lt;&gt;"Serviço","",IF(AUTOEVENTO="Manual",IF($A94=0,"&lt;-- defina o número do agrupador",OFFSET(EVENTOS!$D$14,$A94,0)),OFFSET($F$15,$A94,0)))</f>
        <v>SUPRAESTRUTURA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55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(abra o arquivo 'Referência 05-2023.xls)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4</v>
      </c>
      <c r="N95" s="212" t="str">
        <f ca="1">IF($D95&lt;&gt;"Serviço","",IF(AUTOEVENTO="Manual",IF($A95=0,"&lt;-- defina o número do agrupador",OFFSET(EVENTOS!$D$14,$A95,0)),OFFSET($F$15,$A95,0)))</f>
        <v>SUPRAESTRUTURA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55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(abra o arquivo 'Referência 05-2023.xls)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4</v>
      </c>
      <c r="N96" s="212" t="str">
        <f ca="1">IF($D96&lt;&gt;"Serviço","",IF(AUTOEVENTO="Manual",IF($A96=0,"&lt;-- defina o número do agrupador",OFFSET(EVENTOS!$D$14,$A96,0)),OFFSET($F$15,$A96,0)))</f>
        <v>SUPRAESTRUTURA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55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(abra o arquivo 'Referência 05-2023.xls)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4</v>
      </c>
      <c r="N97" s="212" t="str">
        <f ca="1">IF($D97&lt;&gt;"Serviço","",IF(AUTOEVENTO="Manual",IF($A97=0,"&lt;-- defina o número do agrupador",OFFSET(EVENTOS!$D$14,$A97,0)),OFFSET($F$15,$A97,0)))</f>
        <v>SUPRAESTRUTURA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55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(abra o arquivo 'Referência 05-2023.xls)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4</v>
      </c>
      <c r="N98" s="212" t="str">
        <f ca="1">IF($D98&lt;&gt;"Serviço","",IF(AUTOEVENTO="Manual",IF($A98=0,"&lt;-- defina o número do agrupador",OFFSET(EVENTOS!$D$14,$A98,0)),OFFSET($F$15,$A98,0)))</f>
        <v>SUPRAESTRUTURA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55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(abra o arquivo 'Referência 05-2023.xls)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4</v>
      </c>
      <c r="N99" s="212" t="str">
        <f ca="1">IF($D99&lt;&gt;"Serviço","",IF(AUTOEVENTO="Manual",IF($A99=0,"&lt;-- defina o número do agrupador",OFFSET(EVENTOS!$D$14,$A99,0)),OFFSET($F$15,$A99,0)))</f>
        <v>SUPRAESTRUTURA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55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(abra o arquivo 'Referência 05-2023.xls)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4</v>
      </c>
      <c r="N100" s="212" t="str">
        <f ca="1">IF($D100&lt;&gt;"Serviço","",IF(AUTOEVENTO="Manual",IF($A100=0,"&lt;-- defina o número do agrupador",OFFSET(EVENTOS!$D$14,$A100,0)),OFFSET($F$15,$A100,0)))</f>
        <v>SUPRAESTRUTURA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55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(abra o arquivo 'Referência 05-2023.xls)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4</v>
      </c>
      <c r="N101" s="212" t="str">
        <f ca="1">IF($D101&lt;&gt;"Serviço","",IF(AUTOEVENTO="Manual",IF($A101=0,"&lt;-- defina o número do agrupador",OFFSET(EVENTOS!$D$14,$A101,0)),OFFSET($F$15,$A101,0)))</f>
        <v>SUPRAESTRUTURA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55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(abra o arquivo 'Referência 05-2023.xls)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4</v>
      </c>
      <c r="N102" s="212" t="str">
        <f ca="1">IF($D102&lt;&gt;"Serviço","",IF(AUTOEVENTO="Manual",IF($A102=0,"&lt;-- defina o número do agrupador",OFFSET(EVENTOS!$D$14,$A102,0)),OFFSET($F$15,$A102,0)))</f>
        <v>SUPRAESTRUTURA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55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(abra o arquivo 'Referência 05-2023.xls)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4</v>
      </c>
      <c r="N103" s="212" t="str">
        <f ca="1">IF($D103&lt;&gt;"Serviço","",IF(AUTOEVENTO="Manual",IF($A103=0,"&lt;-- defina o número do agrupador",OFFSET(EVENTOS!$D$14,$A103,0)),OFFSET($F$15,$A103,0)))</f>
        <v>SUPRAESTRUTURA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55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(abra o arquivo 'Referência 05-2023.xls)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4</v>
      </c>
      <c r="N104" s="212" t="str">
        <f ca="1">IF($D104&lt;&gt;"Serviço","",IF(AUTOEVENTO="Manual",IF($A104=0,"&lt;-- defina o número do agrupador",OFFSET(EVENTOS!$D$14,$A104,0)),OFFSET($F$15,$A104,0)))</f>
        <v>SUPRAESTRUTURA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90.</v>
      </c>
      <c r="B105" s="9">
        <f ca="1">OFFSET(ORÇAMENTO!C$15,ROW(B105)-ROW(B$15),0)</f>
        <v>2</v>
      </c>
      <c r="C105" s="9" t="str">
        <f ca="1">OFFSET(ORÇAMENTO!L$15,ROW(C105)-ROW(C$15),0)</f>
        <v>F</v>
      </c>
      <c r="D105" s="146" t="str">
        <f ca="1">OFFSET(ORÇAMENTO!N$15,ROW(D105)-ROW(D$15),0)</f>
        <v>Nível 2</v>
      </c>
      <c r="E105" s="206" t="str">
        <f ca="1">OFFSET(ORÇAMENTO!O$15,ROW(E105)-ROW(E$15),0)</f>
        <v>1.4.</v>
      </c>
      <c r="F105" s="207" t="str">
        <f ca="1">OFFSET(ORÇAMENTO!R$15,ROW(F105)-ROW(F$15),0)</f>
        <v>ALVENARIA/ PAREDES</v>
      </c>
      <c r="G105" s="208" t="str">
        <f ca="1">IF($D105&lt;&gt;"Serviço","",OFFSET(ORÇAMENTO!S$15,ROW(G105)-ROW(G$15),0))</f>
        <v/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 t="str">
        <f ca="1">IF($D105&lt;&gt;"Serviço","",IF(AUTOEVENTO="manual",$A105,IF(ISERROR(MATCH($A105,$A$15:OFFSET($A105,-1,0),0)),MAX($M$15:OFFSET(M105,-1,0))+1,INDEX($M$15:OFFSET(M105,-1,0),MATCH($A105,$A$15:OFFSET($A105,-1,0),0)))))</f>
        <v/>
      </c>
      <c r="N105" s="212" t="str">
        <f ca="1">IF($D105&lt;&gt;"Serviço","",IF(AUTOEVENTO="Manual",IF($A105=0,"&lt;-- defina o número do agrupador",OFFSET(EVENTOS!$D$14,$A105,0)),OFFSET($F$15,$A105,0)))</f>
        <v/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0</v>
      </c>
      <c r="AN105" s="216">
        <f ca="1">IF($D105&lt;&gt;"Serviço",0,IF(AND(AUTOEVENTO="Manual",$M105=1),0,IF(OFFSET(CRONOPLE!$F$14,$M105,AN$13)="",10^12,OFFSET(CRONOPLE!$F$14,$M105,AN$13))))</f>
        <v>0</v>
      </c>
      <c r="AO105" s="216">
        <f ca="1">IF($D105&lt;&gt;"Serviço",0,IF(AND(AUTOEVENTO="Manual",$M105=1),0,IF(OFFSET(CRONOPLE!$F$14,$M105,AO$13)="",10^12,OFFSET(CRONOPLE!$F$14,$M105,AO$13))))</f>
        <v>0</v>
      </c>
      <c r="AP105" s="216">
        <f ca="1">IF($D105&lt;&gt;"Serviço",0,IF(AND(AUTOEVENTO="Manual",$M105=1),0,IF(OFFSET(CRONOPLE!$F$14,$M105,AP$13)="",10^12,OFFSET(CRONOPLE!$F$14,$M105,AP$13))))</f>
        <v>0</v>
      </c>
      <c r="AQ105" s="216">
        <f ca="1">IF($D105&lt;&gt;"Serviço",0,IF(AND(AUTOEVENTO="Manual",$M105=1),0,IF(OFFSET(CRONOPLE!$F$14,$M105,AQ$13)="",10^12,OFFSET(CRONOPLE!$F$14,$M105,AQ$13))))</f>
        <v>0</v>
      </c>
      <c r="AR105" s="216">
        <f ca="1">IF($D105&lt;&gt;"Serviço",0,IF(AND(AUTOEVENTO="Manual",$M105=1),0,IF(OFFSET(CRONOPLE!$F$14,$M105,AR$13)="",10^12,OFFSET(CRONOPLE!$F$14,$M105,AR$13))))</f>
        <v>0</v>
      </c>
      <c r="AS105" s="216">
        <f ca="1">IF($D105&lt;&gt;"Serviço",0,IF(AND(AUTOEVENTO="Manual",$M105=1),0,IF(OFFSET(CRONOPLE!$F$14,$M105,AS$13)="",10^12,OFFSET(CRONOPLE!$F$14,$M105,AS$13))))</f>
        <v>0</v>
      </c>
      <c r="AT105" s="216">
        <f ca="1">IF($D105&lt;&gt;"Serviço",0,IF(AND(AUTOEVENTO="Manual",$M105=1),0,IF(OFFSET(CRONOPLE!$F$14,$M105,AT$13)="",10^12,OFFSET(CRONOPLE!$F$14,$M105,AT$13))))</f>
        <v>0</v>
      </c>
      <c r="AU105" s="216">
        <f ca="1">IF($D105&lt;&gt;"Serviço",0,IF(AND(AUTOEVENTO="Manual",$M105=1),0,IF(OFFSET(CRONOPLE!$F$14,$M105,AU$13)="",10^12,OFFSET(CRONOPLE!$F$14,$M105,AU$13))))</f>
        <v>0</v>
      </c>
      <c r="AV105" s="216">
        <f ca="1">IF($D105&lt;&gt;"Serviço",0,IF(AND(AUTOEVENTO="Manual",$M105=1),0,IF(OFFSET(CRONOPLE!$F$14,$M105,AV$13)="",10^12,OFFSET(CRONOPLE!$F$14,$M105,AV$13))))</f>
        <v>0</v>
      </c>
      <c r="AX105" s="217">
        <f ca="1">IF($D105&lt;&gt;"Serviço",0,IF(OR(AND(AUTOEVENTO="Manual",$M105=1),$M105&gt;(ROW(PLE.lastrow)-ROW(PLE.firstrow))),0,IF(OFFSET(PLE!$G$14,$M105,AX$13)="",10^12,OFFSET(PLE!$G$14,$M105,AX$13))))</f>
        <v>0</v>
      </c>
      <c r="AY105" s="217">
        <f ca="1">IF($D105&lt;&gt;"Serviço",0,IF(OR(AND(AUTOEVENTO="Manual",$M105=1),$M105&gt;(ROW(PLE.lastrow)-ROW(PLE.firstrow))),0,IF(OFFSET(PLE!$G$14,$M105,AY$13)="",10^12,OFFSET(PLE!$G$14,$M105,AY$13))))</f>
        <v>0</v>
      </c>
      <c r="AZ105" s="217">
        <f ca="1">IF($D105&lt;&gt;"Serviço",0,IF(OR(AND(AUTOEVENTO="Manual",$M105=1),$M105&gt;(ROW(PLE.lastrow)-ROW(PLE.firstrow))),0,IF(OFFSET(PLE!$G$14,$M105,AZ$13)="",10^12,OFFSET(PLE!$G$14,$M105,AZ$13))))</f>
        <v>0</v>
      </c>
      <c r="BA105" s="217">
        <f ca="1">IF($D105&lt;&gt;"Serviço",0,IF(OR(AND(AUTOEVENTO="Manual",$M105=1),$M105&gt;(ROW(PLE.lastrow)-ROW(PLE.firstrow))),0,IF(OFFSET(PLE!$G$14,$M105,BA$13)="",10^12,OFFSET(PLE!$G$14,$M105,BA$13))))</f>
        <v>0</v>
      </c>
      <c r="BB105" s="217">
        <f ca="1">IF($D105&lt;&gt;"Serviço",0,IF(OR(AND(AUTOEVENTO="Manual",$M105=1),$M105&gt;(ROW(PLE.lastrow)-ROW(PLE.firstrow))),0,IF(OFFSET(PLE!$G$14,$M105,BB$13)="",10^12,OFFSET(PLE!$G$14,$M105,BB$13))))</f>
        <v>0</v>
      </c>
      <c r="BC105" s="217">
        <f ca="1">IF($D105&lt;&gt;"Serviço",0,IF(OR(AND(AUTOEVENTO="Manual",$M105=1),$M105&gt;(ROW(PLE.lastrow)-ROW(PLE.firstrow))),0,IF(OFFSET(PLE!$G$14,$M105,BC$13)="",10^12,OFFSET(PLE!$G$14,$M105,BC$13))))</f>
        <v>0</v>
      </c>
      <c r="BD105" s="217">
        <f ca="1">IF($D105&lt;&gt;"Serviço",0,IF(OR(AND(AUTOEVENTO="Manual",$M105=1),$M105&gt;(ROW(PLE.lastrow)-ROW(PLE.firstrow))),0,IF(OFFSET(PLE!$G$14,$M105,BD$13)="",10^12,OFFSET(PLE!$G$14,$M105,BD$13))))</f>
        <v>0</v>
      </c>
      <c r="BE105" s="217">
        <f ca="1">IF($D105&lt;&gt;"Serviço",0,IF(OR(AND(AUTOEVENTO="Manual",$M105=1),$M105&gt;(ROW(PLE.lastrow)-ROW(PLE.firstrow))),0,IF(OFFSET(PLE!$G$14,$M105,BE$13)="",10^12,OFFSET(PLE!$G$14,$M105,BE$13))))</f>
        <v>0</v>
      </c>
      <c r="BF105" s="217">
        <f ca="1">IF($D105&lt;&gt;"Serviço",0,IF(OR(AND(AUTOEVENTO="Manual",$M105=1),$M105&gt;(ROW(PLE.lastrow)-ROW(PLE.firstrow))),0,IF(OFFSET(PLE!$G$14,$M105,BF$13)="",10^12,OFFSET(PLE!$G$14,$M105,BF$13))))</f>
        <v>0</v>
      </c>
      <c r="BG105" s="217">
        <f ca="1">IF($D105&lt;&gt;"Serviço",0,IF(OR(AND(AUTOEVENTO="Manual",$M105=1),$M105&gt;(ROW(PLE.lastrow)-ROW(PLE.firstrow))),0,IF(OFFSET(PLE!$G$14,$M105,BG$13)="",10^12,OFFSET(PLE!$G$14,$M105,BG$13))))</f>
        <v>0</v>
      </c>
    </row>
    <row r="106" spans="1:59" ht="51" x14ac:dyDescent="0.2">
      <c r="A106" s="9" t="str">
        <f t="shared" ca="1" si="9"/>
        <v>90</v>
      </c>
      <c r="B106" s="9" t="str">
        <f ca="1">OFFSET(ORÇAMENTO!C$15,ROW(B106)-ROW(B$15),0)</f>
        <v>S</v>
      </c>
      <c r="C106" s="9" t="str">
        <f ca="1">OFFSET(ORÇAMENTO!L$15,ROW(C106)-ROW(C$15),0)</f>
        <v>F</v>
      </c>
      <c r="D106" s="146" t="str">
        <f ca="1">OFFSET(ORÇAMENTO!N$15,ROW(D106)-ROW(D$15),0)</f>
        <v>Serviço</v>
      </c>
      <c r="E106" s="206" t="str">
        <f ca="1">OFFSET(ORÇAMENTO!O$15,ROW(E106)-ROW(E$15),0)</f>
        <v>1.4.1.</v>
      </c>
      <c r="F106" s="207" t="str">
        <f ca="1">OFFSET(ORÇAMENTO!R$15,ROW(F106)-ROW(F$15),0)</f>
        <v>(abra o arquivo 'Referência 05-2023.xls)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240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5</v>
      </c>
      <c r="N106" s="212" t="str">
        <f ca="1">IF($D106&lt;&gt;"Serviço","",IF(AUTOEVENTO="Manual",IF($A106=0,"&lt;-- defina o número do agrupador",OFFSET(EVENTOS!$D$14,$A106,0)),OFFSET($F$15,$A106,0)))</f>
        <v>ALVENARIA/ PAREDES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38.25" x14ac:dyDescent="0.2">
      <c r="A107" s="9" t="str">
        <f t="shared" ca="1" si="9"/>
        <v>90</v>
      </c>
      <c r="B107" s="9" t="str">
        <f ca="1">OFFSET(ORÇAMENTO!C$15,ROW(B107)-ROW(B$15),0)</f>
        <v>S</v>
      </c>
      <c r="C107" s="9" t="str">
        <f ca="1">OFFSET(ORÇAMENTO!L$15,ROW(C107)-ROW(C$15),0)</f>
        <v>F</v>
      </c>
      <c r="D107" s="146" t="str">
        <f ca="1">OFFSET(ORÇAMENTO!N$15,ROW(D107)-ROW(D$15),0)</f>
        <v>Serviço</v>
      </c>
      <c r="E107" s="206" t="str">
        <f ca="1">OFFSET(ORÇAMENTO!O$15,ROW(E107)-ROW(E$15),0)</f>
        <v>1.4.2.</v>
      </c>
      <c r="F107" s="207" t="str">
        <f ca="1">OFFSET(ORÇAMENTO!R$15,ROW(F107)-ROW(F$15),0)</f>
        <v>(abra o arquivo 'Referência 05-2023.xls)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686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5</v>
      </c>
      <c r="N107" s="212" t="str">
        <f ca="1">IF($D107&lt;&gt;"Serviço","",IF(AUTOEVENTO="Manual",IF($A107=0,"&lt;-- defina o número do agrupador",OFFSET(EVENTOS!$D$14,$A107,0)),OFFSET($F$15,$A107,0)))</f>
        <v>ALVENARIA/ PAREDES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51" x14ac:dyDescent="0.2">
      <c r="A108" s="9" t="str">
        <f t="shared" ca="1" si="9"/>
        <v>90</v>
      </c>
      <c r="B108" s="9" t="str">
        <f ca="1">OFFSET(ORÇAMENTO!C$15,ROW(B108)-ROW(B$15),0)</f>
        <v>S</v>
      </c>
      <c r="C108" s="9" t="str">
        <f ca="1">OFFSET(ORÇAMENTO!L$15,ROW(C108)-ROW(C$15),0)</f>
        <v>F</v>
      </c>
      <c r="D108" s="146" t="str">
        <f ca="1">OFFSET(ORÇAMENTO!N$15,ROW(D108)-ROW(D$15),0)</f>
        <v>Serviço</v>
      </c>
      <c r="E108" s="206" t="str">
        <f ca="1">OFFSET(ORÇAMENTO!O$15,ROW(E108)-ROW(E$15),0)</f>
        <v>1.4.3.</v>
      </c>
      <c r="F108" s="207" t="str">
        <f ca="1">OFFSET(ORÇAMENTO!R$15,ROW(F108)-ROW(F$15),0)</f>
        <v>(abra o arquivo 'Referência 05-2023.xls)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686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5</v>
      </c>
      <c r="N108" s="212" t="str">
        <f ca="1">IF($D108&lt;&gt;"Serviço","",IF(AUTOEVENTO="Manual",IF($A108=0,"&lt;-- defina o número do agrupador",OFFSET(EVENTOS!$D$14,$A108,0)),OFFSET($F$15,$A108,0)))</f>
        <v>ALVENARIA/ PAREDES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90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(abra o arquivo 'Referência 05-2023.xls)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5</v>
      </c>
      <c r="N109" s="212" t="str">
        <f ca="1">IF($D109&lt;&gt;"Serviço","",IF(AUTOEVENTO="Manual",IF($A109=0,"&lt;-- defina o número do agrupador",OFFSET(EVENTOS!$D$14,$A109,0)),OFFSET($F$15,$A109,0)))</f>
        <v>ALVENARIA/ PAREDES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90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(abra o arquivo 'Referência 05-2023.xls)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5</v>
      </c>
      <c r="N110" s="212" t="str">
        <f ca="1">IF($D110&lt;&gt;"Serviço","",IF(AUTOEVENTO="Manual",IF($A110=0,"&lt;-- defina o número do agrupador",OFFSET(EVENTOS!$D$14,$A110,0)),OFFSET($F$15,$A110,0)))</f>
        <v>ALVENARIA/ PAREDES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90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(abra o arquivo 'Referência 05-2023.xls)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5</v>
      </c>
      <c r="N111" s="212" t="str">
        <f ca="1">IF($D111&lt;&gt;"Serviço","",IF(AUTOEVENTO="Manual",IF($A111=0,"&lt;-- defina o número do agrupador",OFFSET(EVENTOS!$D$14,$A111,0)),OFFSET($F$15,$A111,0)))</f>
        <v>ALVENARIA/ PAREDES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90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(abra o arquivo 'Referência 05-2023.xls)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5</v>
      </c>
      <c r="N112" s="212" t="str">
        <f ca="1">IF($D112&lt;&gt;"Serviço","",IF(AUTOEVENTO="Manual",IF($A112=0,"&lt;-- defina o número do agrupador",OFFSET(EVENTOS!$D$14,$A112,0)),OFFSET($F$15,$A112,0)))</f>
        <v>ALVENARIA/ PAREDES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90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(abra o arquivo 'Referência 05-2023.xls)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5</v>
      </c>
      <c r="N113" s="212" t="str">
        <f ca="1">IF($D113&lt;&gt;"Serviço","",IF(AUTOEVENTO="Manual",IF($A113=0,"&lt;-- defina o número do agrupador",OFFSET(EVENTOS!$D$14,$A113,0)),OFFSET($F$15,$A113,0)))</f>
        <v>ALVENARIA/ PAREDES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90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(abra o arquivo 'Referência 05-2023.xls)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5</v>
      </c>
      <c r="N114" s="212" t="str">
        <f ca="1">IF($D114&lt;&gt;"Serviço","",IF(AUTOEVENTO="Manual",IF($A114=0,"&lt;-- defina o número do agrupador",OFFSET(EVENTOS!$D$14,$A114,0)),OFFSET($F$15,$A114,0)))</f>
        <v>ALVENARIA/ PAREDES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90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(abra o arquivo 'Referência 05-2023.xls)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5</v>
      </c>
      <c r="N115" s="212" t="str">
        <f ca="1">IF($D115&lt;&gt;"Serviço","",IF(AUTOEVENTO="Manual",IF($A115=0,"&lt;-- defina o número do agrupador",OFFSET(EVENTOS!$D$14,$A115,0)),OFFSET($F$15,$A115,0)))</f>
        <v>ALVENARIA/ PAREDES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90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(abra o arquivo 'Referência 05-2023.xls)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5</v>
      </c>
      <c r="N116" s="212" t="str">
        <f ca="1">IF($D116&lt;&gt;"Serviço","",IF(AUTOEVENTO="Manual",IF($A116=0,"&lt;-- defina o número do agrupador",OFFSET(EVENTOS!$D$14,$A116,0)),OFFSET($F$15,$A116,0)))</f>
        <v>ALVENARIA/ PAREDES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90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(abra o arquivo 'Referência 05-2023.xls)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5</v>
      </c>
      <c r="N117" s="212" t="str">
        <f ca="1">IF($D117&lt;&gt;"Serviço","",IF(AUTOEVENTO="Manual",IF($A117=0,"&lt;-- defina o número do agrupador",OFFSET(EVENTOS!$D$14,$A117,0)),OFFSET($F$15,$A117,0)))</f>
        <v>ALVENARIA/ PAREDES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90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(abra o arquivo 'Referência 05-2023.xls)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5</v>
      </c>
      <c r="N118" s="212" t="str">
        <f ca="1">IF($D118&lt;&gt;"Serviço","",IF(AUTOEVENTO="Manual",IF($A118=0,"&lt;-- defina o número do agrupador",OFFSET(EVENTOS!$D$14,$A118,0)),OFFSET($F$15,$A118,0)))</f>
        <v>ALVENARIA/ PAREDES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90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(abra o arquivo 'Referência 05-2023.xls)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5</v>
      </c>
      <c r="N119" s="212" t="str">
        <f ca="1">IF($D119&lt;&gt;"Serviço","",IF(AUTOEVENTO="Manual",IF($A119=0,"&lt;-- defina o número do agrupador",OFFSET(EVENTOS!$D$14,$A119,0)),OFFSET($F$15,$A119,0)))</f>
        <v>ALVENARIA/ PAREDES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90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(abra o arquivo 'Referência 05-2023.xls)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5</v>
      </c>
      <c r="N120" s="212" t="str">
        <f ca="1">IF($D120&lt;&gt;"Serviço","",IF(AUTOEVENTO="Manual",IF($A120=0,"&lt;-- defina o número do agrupador",OFFSET(EVENTOS!$D$14,$A120,0)),OFFSET($F$15,$A120,0)))</f>
        <v>ALVENARIA/ PAREDES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90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(abra o arquivo 'Referência 05-2023.xls)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5</v>
      </c>
      <c r="N121" s="212" t="str">
        <f ca="1">IF($D121&lt;&gt;"Serviço","",IF(AUTOEVENTO="Manual",IF($A121=0,"&lt;-- defina o número do agrupador",OFFSET(EVENTOS!$D$14,$A121,0)),OFFSET($F$15,$A121,0)))</f>
        <v>ALVENARIA/ PAREDES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90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(abra o arquivo 'Referência 05-2023.xls)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5</v>
      </c>
      <c r="N122" s="212" t="str">
        <f ca="1">IF($D122&lt;&gt;"Serviço","",IF(AUTOEVENTO="Manual",IF($A122=0,"&lt;-- defina o número do agrupador",OFFSET(EVENTOS!$D$14,$A122,0)),OFFSET($F$15,$A122,0)))</f>
        <v>ALVENARIA/ PAREDES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90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(abra o arquivo 'Referência 05-2023.xls)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5</v>
      </c>
      <c r="N123" s="212" t="str">
        <f ca="1">IF($D123&lt;&gt;"Serviço","",IF(AUTOEVENTO="Manual",IF($A123=0,"&lt;-- defina o número do agrupador",OFFSET(EVENTOS!$D$14,$A123,0)),OFFSET($F$15,$A123,0)))</f>
        <v>ALVENARIA/ PAREDES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90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(abra o arquivo 'Referência 05-2023.xls)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5</v>
      </c>
      <c r="N124" s="212" t="str">
        <f ca="1">IF($D124&lt;&gt;"Serviço","",IF(AUTOEVENTO="Manual",IF($A124=0,"&lt;-- defina o número do agrupador",OFFSET(EVENTOS!$D$14,$A124,0)),OFFSET($F$15,$A124,0)))</f>
        <v>ALVENARIA/ PAREDES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90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(abra o arquivo 'Referência 05-2023.xls)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5</v>
      </c>
      <c r="N125" s="212" t="str">
        <f ca="1">IF($D125&lt;&gt;"Serviço","",IF(AUTOEVENTO="Manual",IF($A125=0,"&lt;-- defina o número do agrupador",OFFSET(EVENTOS!$D$14,$A125,0)),OFFSET($F$15,$A125,0)))</f>
        <v>ALVENARIA/ PAREDES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111.</v>
      </c>
      <c r="B126" s="9">
        <f ca="1">OFFSET(ORÇAMENTO!C$15,ROW(B126)-ROW(B$15),0)</f>
        <v>2</v>
      </c>
      <c r="C126" s="9" t="str">
        <f ca="1">OFFSET(ORÇAMENTO!L$15,ROW(C126)-ROW(C$15),0)</f>
        <v>F</v>
      </c>
      <c r="D126" s="146" t="str">
        <f ca="1">OFFSET(ORÇAMENTO!N$15,ROW(D126)-ROW(D$15),0)</f>
        <v>Nível 2</v>
      </c>
      <c r="E126" s="206" t="str">
        <f ca="1">OFFSET(ORÇAMENTO!O$15,ROW(E126)-ROW(E$15),0)</f>
        <v>1.5.</v>
      </c>
      <c r="F126" s="207" t="str">
        <f ca="1">OFFSET(ORÇAMENTO!R$15,ROW(F126)-ROW(F$15),0)</f>
        <v>PISO</v>
      </c>
      <c r="G126" s="208" t="str">
        <f ca="1">IF($D126&lt;&gt;"Serviço","",OFFSET(ORÇAMENTO!S$15,ROW(G126)-ROW(G$15),0))</f>
        <v/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 t="str">
        <f ca="1">IF($D126&lt;&gt;"Serviço","",IF(AUTOEVENTO="manual",$A126,IF(ISERROR(MATCH($A126,$A$15:OFFSET($A126,-1,0),0)),MAX($M$15:OFFSET(M126,-1,0))+1,INDEX($M$15:OFFSET(M126,-1,0),MATCH($A126,$A$15:OFFSET($A126,-1,0),0)))))</f>
        <v/>
      </c>
      <c r="N126" s="212" t="str">
        <f ca="1">IF($D126&lt;&gt;"Serviço","",IF(AUTOEVENTO="Manual",IF($A126=0,"&lt;-- defina o número do agrupador",OFFSET(EVENTOS!$D$14,$A126,0)),OFFSET($F$15,$A126,0)))</f>
        <v/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0</v>
      </c>
      <c r="AN126" s="216">
        <f ca="1">IF($D126&lt;&gt;"Serviço",0,IF(AND(AUTOEVENTO="Manual",$M126=1),0,IF(OFFSET(CRONOPLE!$F$14,$M126,AN$13)="",10^12,OFFSET(CRONOPLE!$F$14,$M126,AN$13))))</f>
        <v>0</v>
      </c>
      <c r="AO126" s="216">
        <f ca="1">IF($D126&lt;&gt;"Serviço",0,IF(AND(AUTOEVENTO="Manual",$M126=1),0,IF(OFFSET(CRONOPLE!$F$14,$M126,AO$13)="",10^12,OFFSET(CRONOPLE!$F$14,$M126,AO$13))))</f>
        <v>0</v>
      </c>
      <c r="AP126" s="216">
        <f ca="1">IF($D126&lt;&gt;"Serviço",0,IF(AND(AUTOEVENTO="Manual",$M126=1),0,IF(OFFSET(CRONOPLE!$F$14,$M126,AP$13)="",10^12,OFFSET(CRONOPLE!$F$14,$M126,AP$13))))</f>
        <v>0</v>
      </c>
      <c r="AQ126" s="216">
        <f ca="1">IF($D126&lt;&gt;"Serviço",0,IF(AND(AUTOEVENTO="Manual",$M126=1),0,IF(OFFSET(CRONOPLE!$F$14,$M126,AQ$13)="",10^12,OFFSET(CRONOPLE!$F$14,$M126,AQ$13))))</f>
        <v>0</v>
      </c>
      <c r="AR126" s="216">
        <f ca="1">IF($D126&lt;&gt;"Serviço",0,IF(AND(AUTOEVENTO="Manual",$M126=1),0,IF(OFFSET(CRONOPLE!$F$14,$M126,AR$13)="",10^12,OFFSET(CRONOPLE!$F$14,$M126,AR$13))))</f>
        <v>0</v>
      </c>
      <c r="AS126" s="216">
        <f ca="1">IF($D126&lt;&gt;"Serviço",0,IF(AND(AUTOEVENTO="Manual",$M126=1),0,IF(OFFSET(CRONOPLE!$F$14,$M126,AS$13)="",10^12,OFFSET(CRONOPLE!$F$14,$M126,AS$13))))</f>
        <v>0</v>
      </c>
      <c r="AT126" s="216">
        <f ca="1">IF($D126&lt;&gt;"Serviço",0,IF(AND(AUTOEVENTO="Manual",$M126=1),0,IF(OFFSET(CRONOPLE!$F$14,$M126,AT$13)="",10^12,OFFSET(CRONOPLE!$F$14,$M126,AT$13))))</f>
        <v>0</v>
      </c>
      <c r="AU126" s="216">
        <f ca="1">IF($D126&lt;&gt;"Serviço",0,IF(AND(AUTOEVENTO="Manual",$M126=1),0,IF(OFFSET(CRONOPLE!$F$14,$M126,AU$13)="",10^12,OFFSET(CRONOPLE!$F$14,$M126,AU$13))))</f>
        <v>0</v>
      </c>
      <c r="AV126" s="216">
        <f ca="1">IF($D126&lt;&gt;"Serviço",0,IF(AND(AUTOEVENTO="Manual",$M126=1),0,IF(OFFSET(CRONOPLE!$F$14,$M126,AV$13)="",10^12,OFFSET(CRONOPLE!$F$14,$M126,AV$13))))</f>
        <v>0</v>
      </c>
      <c r="AX126" s="217">
        <f ca="1">IF($D126&lt;&gt;"Serviço",0,IF(OR(AND(AUTOEVENTO="Manual",$M126=1),$M126&gt;(ROW(PLE.lastrow)-ROW(PLE.firstrow))),0,IF(OFFSET(PLE!$G$14,$M126,AX$13)="",10^12,OFFSET(PLE!$G$14,$M126,AX$13))))</f>
        <v>0</v>
      </c>
      <c r="AY126" s="217">
        <f ca="1">IF($D126&lt;&gt;"Serviço",0,IF(OR(AND(AUTOEVENTO="Manual",$M126=1),$M126&gt;(ROW(PLE.lastrow)-ROW(PLE.firstrow))),0,IF(OFFSET(PLE!$G$14,$M126,AY$13)="",10^12,OFFSET(PLE!$G$14,$M126,AY$13))))</f>
        <v>0</v>
      </c>
      <c r="AZ126" s="217">
        <f ca="1">IF($D126&lt;&gt;"Serviço",0,IF(OR(AND(AUTOEVENTO="Manual",$M126=1),$M126&gt;(ROW(PLE.lastrow)-ROW(PLE.firstrow))),0,IF(OFFSET(PLE!$G$14,$M126,AZ$13)="",10^12,OFFSET(PLE!$G$14,$M126,AZ$13))))</f>
        <v>0</v>
      </c>
      <c r="BA126" s="217">
        <f ca="1">IF($D126&lt;&gt;"Serviço",0,IF(OR(AND(AUTOEVENTO="Manual",$M126=1),$M126&gt;(ROW(PLE.lastrow)-ROW(PLE.firstrow))),0,IF(OFFSET(PLE!$G$14,$M126,BA$13)="",10^12,OFFSET(PLE!$G$14,$M126,BA$13))))</f>
        <v>0</v>
      </c>
      <c r="BB126" s="217">
        <f ca="1">IF($D126&lt;&gt;"Serviço",0,IF(OR(AND(AUTOEVENTO="Manual",$M126=1),$M126&gt;(ROW(PLE.lastrow)-ROW(PLE.firstrow))),0,IF(OFFSET(PLE!$G$14,$M126,BB$13)="",10^12,OFFSET(PLE!$G$14,$M126,BB$13))))</f>
        <v>0</v>
      </c>
      <c r="BC126" s="217">
        <f ca="1">IF($D126&lt;&gt;"Serviço",0,IF(OR(AND(AUTOEVENTO="Manual",$M126=1),$M126&gt;(ROW(PLE.lastrow)-ROW(PLE.firstrow))),0,IF(OFFSET(PLE!$G$14,$M126,BC$13)="",10^12,OFFSET(PLE!$G$14,$M126,BC$13))))</f>
        <v>0</v>
      </c>
      <c r="BD126" s="217">
        <f ca="1">IF($D126&lt;&gt;"Serviço",0,IF(OR(AND(AUTOEVENTO="Manual",$M126=1),$M126&gt;(ROW(PLE.lastrow)-ROW(PLE.firstrow))),0,IF(OFFSET(PLE!$G$14,$M126,BD$13)="",10^12,OFFSET(PLE!$G$14,$M126,BD$13))))</f>
        <v>0</v>
      </c>
      <c r="BE126" s="217">
        <f ca="1">IF($D126&lt;&gt;"Serviço",0,IF(OR(AND(AUTOEVENTO="Manual",$M126=1),$M126&gt;(ROW(PLE.lastrow)-ROW(PLE.firstrow))),0,IF(OFFSET(PLE!$G$14,$M126,BE$13)="",10^12,OFFSET(PLE!$G$14,$M126,BE$13))))</f>
        <v>0</v>
      </c>
      <c r="BF126" s="217">
        <f ca="1">IF($D126&lt;&gt;"Serviço",0,IF(OR(AND(AUTOEVENTO="Manual",$M126=1),$M126&gt;(ROW(PLE.lastrow)-ROW(PLE.firstrow))),0,IF(OFFSET(PLE!$G$14,$M126,BF$13)="",10^12,OFFSET(PLE!$G$14,$M126,BF$13))))</f>
        <v>0</v>
      </c>
      <c r="BG126" s="217">
        <f ca="1">IF($D126&lt;&gt;"Serviço",0,IF(OR(AND(AUTOEVENTO="Manual",$M126=1),$M126&gt;(ROW(PLE.lastrow)-ROW(PLE.firstrow))),0,IF(OFFSET(PLE!$G$14,$M126,BG$13)="",10^12,OFFSET(PLE!$G$14,$M126,BG$13))))</f>
        <v>0</v>
      </c>
    </row>
    <row r="127" spans="1:59" ht="25.5" x14ac:dyDescent="0.2">
      <c r="A127" s="9" t="str">
        <f t="shared" ca="1" si="9"/>
        <v>111</v>
      </c>
      <c r="B127" s="9" t="str">
        <f ca="1">OFFSET(ORÇAMENTO!C$15,ROW(B127)-ROW(B$15),0)</f>
        <v>S</v>
      </c>
      <c r="C127" s="9" t="str">
        <f ca="1">OFFSET(ORÇAMENTO!L$15,ROW(C127)-ROW(C$15),0)</f>
        <v>F</v>
      </c>
      <c r="D127" s="146" t="str">
        <f ca="1">OFFSET(ORÇAMENTO!N$15,ROW(D127)-ROW(D$15),0)</f>
        <v>Serviço</v>
      </c>
      <c r="E127" s="206" t="str">
        <f ca="1">OFFSET(ORÇAMENTO!O$15,ROW(E127)-ROW(E$15),0)</f>
        <v>1.5.1.</v>
      </c>
      <c r="F127" s="207" t="str">
        <f ca="1">OFFSET(ORÇAMENTO!R$15,ROW(F127)-ROW(F$15),0)</f>
        <v>(abra o arquivo 'Referência 05-2023.xls)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160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6</v>
      </c>
      <c r="N127" s="212" t="str">
        <f ca="1">IF($D127&lt;&gt;"Serviço","",IF(AUTOEVENTO="Manual",IF($A127=0,"&lt;-- defina o número do agrupador",OFFSET(EVENTOS!$D$14,$A127,0)),OFFSET($F$15,$A127,0)))</f>
        <v>PISO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38.25" x14ac:dyDescent="0.2">
      <c r="A128" s="9" t="str">
        <f t="shared" ca="1" si="9"/>
        <v>111</v>
      </c>
      <c r="B128" s="9" t="str">
        <f ca="1">OFFSET(ORÇAMENTO!C$15,ROW(B128)-ROW(B$15),0)</f>
        <v>S</v>
      </c>
      <c r="C128" s="9" t="str">
        <f ca="1">OFFSET(ORÇAMENTO!L$15,ROW(C128)-ROW(C$15),0)</f>
        <v>F</v>
      </c>
      <c r="D128" s="146" t="str">
        <f ca="1">OFFSET(ORÇAMENTO!N$15,ROW(D128)-ROW(D$15),0)</f>
        <v>Serviço</v>
      </c>
      <c r="E128" s="206" t="str">
        <f ca="1">OFFSET(ORÇAMENTO!O$15,ROW(E128)-ROW(E$15),0)</f>
        <v>1.5.2.</v>
      </c>
      <c r="F128" s="207" t="str">
        <f ca="1">OFFSET(ORÇAMENTO!R$15,ROW(F128)-ROW(F$15),0)</f>
        <v>(abra o arquivo 'Referência 05-2023.xls)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110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6</v>
      </c>
      <c r="N128" s="212" t="str">
        <f ca="1">IF($D128&lt;&gt;"Serviço","",IF(AUTOEVENTO="Manual",IF($A128=0,"&lt;-- defina o número do agrupador",OFFSET(EVENTOS!$D$14,$A128,0)),OFFSET($F$15,$A128,0)))</f>
        <v>PISO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25.5" x14ac:dyDescent="0.2">
      <c r="A129" s="9" t="str">
        <f t="shared" ca="1" si="9"/>
        <v>111</v>
      </c>
      <c r="B129" s="9" t="str">
        <f ca="1">OFFSET(ORÇAMENTO!C$15,ROW(B129)-ROW(B$15),0)</f>
        <v>S</v>
      </c>
      <c r="C129" s="9" t="str">
        <f ca="1">OFFSET(ORÇAMENTO!L$15,ROW(C129)-ROW(C$15),0)</f>
        <v>F</v>
      </c>
      <c r="D129" s="146" t="str">
        <f ca="1">OFFSET(ORÇAMENTO!N$15,ROW(D129)-ROW(D$15),0)</f>
        <v>Serviço</v>
      </c>
      <c r="E129" s="206" t="str">
        <f ca="1">OFFSET(ORÇAMENTO!O$15,ROW(E129)-ROW(E$15),0)</f>
        <v>1.5.3.</v>
      </c>
      <c r="F129" s="207" t="str">
        <f ca="1">OFFSET(ORÇAMENTO!R$15,ROW(F129)-ROW(F$15),0)</f>
        <v>(abra o arquivo 'Referência 05-2023.xls)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160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6</v>
      </c>
      <c r="N129" s="212" t="str">
        <f ca="1">IF($D129&lt;&gt;"Serviço","",IF(AUTOEVENTO="Manual",IF($A129=0,"&lt;-- defina o número do agrupador",OFFSET(EVENTOS!$D$14,$A129,0)),OFFSET($F$15,$A129,0)))</f>
        <v>PISO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63.75" x14ac:dyDescent="0.2">
      <c r="A130" s="9" t="str">
        <f t="shared" ca="1" si="9"/>
        <v>111</v>
      </c>
      <c r="B130" s="9" t="str">
        <f ca="1">OFFSET(ORÇAMENTO!C$15,ROW(B130)-ROW(B$15),0)</f>
        <v>S</v>
      </c>
      <c r="C130" s="9" t="str">
        <f ca="1">OFFSET(ORÇAMENTO!L$15,ROW(C130)-ROW(C$15),0)</f>
        <v>F</v>
      </c>
      <c r="D130" s="146" t="str">
        <f ca="1">OFFSET(ORÇAMENTO!N$15,ROW(D130)-ROW(D$15),0)</f>
        <v>Serviço</v>
      </c>
      <c r="E130" s="206" t="str">
        <f ca="1">OFFSET(ORÇAMENTO!O$15,ROW(E130)-ROW(E$15),0)</f>
        <v>1.5.4.</v>
      </c>
      <c r="F130" s="207" t="str">
        <f ca="1">OFFSET(ORÇAMENTO!R$15,ROW(F130)-ROW(F$15),0)</f>
        <v>(abra o arquivo 'Referência 05-2023.xls)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810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6</v>
      </c>
      <c r="N130" s="212" t="str">
        <f ca="1">IF($D130&lt;&gt;"Serviço","",IF(AUTOEVENTO="Manual",IF($A130=0,"&lt;-- defina o número do agrupador",OFFSET(EVENTOS!$D$14,$A130,0)),OFFSET($F$15,$A130,0)))</f>
        <v>PISO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111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(abra o arquivo 'Referência 05-2023.xls)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6</v>
      </c>
      <c r="N131" s="212" t="str">
        <f ca="1">IF($D131&lt;&gt;"Serviço","",IF(AUTOEVENTO="Manual",IF($A131=0,"&lt;-- defina o número do agrupador",OFFSET(EVENTOS!$D$14,$A131,0)),OFFSET($F$15,$A131,0)))</f>
        <v>PISO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25.5" x14ac:dyDescent="0.2">
      <c r="A132" s="9" t="str">
        <f t="shared" ca="1" si="9"/>
        <v>111</v>
      </c>
      <c r="B132" s="9" t="str">
        <f ca="1">OFFSET(ORÇAMENTO!C$15,ROW(B132)-ROW(B$15),0)</f>
        <v>S</v>
      </c>
      <c r="C132" s="9" t="str">
        <f ca="1">OFFSET(ORÇAMENTO!L$15,ROW(C132)-ROW(C$15),0)</f>
        <v>F</v>
      </c>
      <c r="D132" s="146" t="str">
        <f ca="1">OFFSET(ORÇAMENTO!N$15,ROW(D132)-ROW(D$15),0)</f>
        <v>Serviço</v>
      </c>
      <c r="E132" s="206" t="str">
        <f ca="1">OFFSET(ORÇAMENTO!O$15,ROW(E132)-ROW(E$15),0)</f>
        <v>1.5.5.</v>
      </c>
      <c r="F132" s="207" t="str">
        <f ca="1">OFFSET(ORÇAMENTO!R$15,ROW(F132)-ROW(F$15),0)</f>
        <v>(abra o arquivo 'Referência 05-2023.xls)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785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6</v>
      </c>
      <c r="N132" s="212" t="str">
        <f ca="1">IF($D132&lt;&gt;"Serviço","",IF(AUTOEVENTO="Manual",IF($A132=0,"&lt;-- defina o número do agrupador",OFFSET(EVENTOS!$D$14,$A132,0)),OFFSET($F$15,$A132,0)))</f>
        <v>PISO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25.5" x14ac:dyDescent="0.2">
      <c r="A133" s="9" t="str">
        <f t="shared" ca="1" si="9"/>
        <v>111</v>
      </c>
      <c r="B133" s="9" t="str">
        <f ca="1">OFFSET(ORÇAMENTO!C$15,ROW(B133)-ROW(B$15),0)</f>
        <v>S</v>
      </c>
      <c r="C133" s="9" t="str">
        <f ca="1">OFFSET(ORÇAMENTO!L$15,ROW(C133)-ROW(C$15),0)</f>
        <v>F</v>
      </c>
      <c r="D133" s="146" t="str">
        <f ca="1">OFFSET(ORÇAMENTO!N$15,ROW(D133)-ROW(D$15),0)</f>
        <v>Serviço</v>
      </c>
      <c r="E133" s="206" t="str">
        <f ca="1">OFFSET(ORÇAMENTO!O$15,ROW(E133)-ROW(E$15),0)</f>
        <v>1.5.6.</v>
      </c>
      <c r="F133" s="207" t="str">
        <f ca="1">OFFSET(ORÇAMENTO!R$15,ROW(F133)-ROW(F$15),0)</f>
        <v>(abra o arquivo 'Referência 05-2023.xls)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68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6</v>
      </c>
      <c r="N133" s="212" t="str">
        <f ca="1">IF($D133&lt;&gt;"Serviço","",IF(AUTOEVENTO="Manual",IF($A133=0,"&lt;-- defina o número do agrupador",OFFSET(EVENTOS!$D$14,$A133,0)),OFFSET($F$15,$A133,0)))</f>
        <v>PISO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111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(abra o arquivo 'Referência 05-2023.xls)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6</v>
      </c>
      <c r="N134" s="212" t="str">
        <f ca="1">IF($D134&lt;&gt;"Serviço","",IF(AUTOEVENTO="Manual",IF($A134=0,"&lt;-- defina o número do agrupador",OFFSET(EVENTOS!$D$14,$A134,0)),OFFSET($F$15,$A134,0)))</f>
        <v>PISO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111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(abra o arquivo 'Referência 05-2023.xls)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6</v>
      </c>
      <c r="N135" s="212" t="str">
        <f ca="1">IF($D135&lt;&gt;"Serviço","",IF(AUTOEVENTO="Manual",IF($A135=0,"&lt;-- defina o número do agrupador",OFFSET(EVENTOS!$D$14,$A135,0)),OFFSET($F$15,$A135,0)))</f>
        <v>PISO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111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(abra o arquivo 'Referência 05-2023.xls)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6</v>
      </c>
      <c r="N136" s="212" t="str">
        <f ca="1">IF($D136&lt;&gt;"Serviço","",IF(AUTOEVENTO="Manual",IF($A136=0,"&lt;-- defina o número do agrupador",OFFSET(EVENTOS!$D$14,$A136,0)),OFFSET($F$15,$A136,0)))</f>
        <v>PISO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111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(abra o arquivo 'Referência 05-2023.xls)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6</v>
      </c>
      <c r="N137" s="212" t="str">
        <f ca="1">IF($D137&lt;&gt;"Serviço","",IF(AUTOEVENTO="Manual",IF($A137=0,"&lt;-- defina o número do agrupador",OFFSET(EVENTOS!$D$14,$A137,0)),OFFSET($F$15,$A137,0)))</f>
        <v>PISO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111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(abra o arquivo 'Referência 05-2023.xls)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6</v>
      </c>
      <c r="N138" s="212" t="str">
        <f ca="1">IF($D138&lt;&gt;"Serviço","",IF(AUTOEVENTO="Manual",IF($A138=0,"&lt;-- defina o número do agrupador",OFFSET(EVENTOS!$D$14,$A138,0)),OFFSET($F$15,$A138,0)))</f>
        <v>PISO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111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(abra o arquivo 'Referência 05-2023.xls)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6</v>
      </c>
      <c r="N139" s="212" t="str">
        <f ca="1">IF($D139&lt;&gt;"Serviço","",IF(AUTOEVENTO="Manual",IF($A139=0,"&lt;-- defina o número do agrupador",OFFSET(EVENTOS!$D$14,$A139,0)),OFFSET($F$15,$A139,0)))</f>
        <v>PISO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111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(abra o arquivo 'Referência 05-2023.xls)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6</v>
      </c>
      <c r="N140" s="212" t="str">
        <f ca="1">IF($D140&lt;&gt;"Serviço","",IF(AUTOEVENTO="Manual",IF($A140=0,"&lt;-- defina o número do agrupador",OFFSET(EVENTOS!$D$14,$A140,0)),OFFSET($F$15,$A140,0)))</f>
        <v>PISO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126.</v>
      </c>
      <c r="B141" s="9">
        <f ca="1">OFFSET(ORÇAMENTO!C$15,ROW(B141)-ROW(B$15),0)</f>
        <v>2</v>
      </c>
      <c r="C141" s="9" t="str">
        <f ca="1">OFFSET(ORÇAMENTO!L$15,ROW(C141)-ROW(C$15),0)</f>
        <v>F</v>
      </c>
      <c r="D141" s="146" t="str">
        <f ca="1">OFFSET(ORÇAMENTO!N$15,ROW(D141)-ROW(D$15),0)</f>
        <v>Nível 2</v>
      </c>
      <c r="E141" s="206" t="str">
        <f ca="1">OFFSET(ORÇAMENTO!O$15,ROW(E141)-ROW(E$15),0)</f>
        <v>1.6.</v>
      </c>
      <c r="F141" s="207" t="str">
        <f ca="1">OFFSET(ORÇAMENTO!R$15,ROW(F141)-ROW(F$15),0)</f>
        <v>COBERTURA</v>
      </c>
      <c r="G141" s="208" t="str">
        <f ca="1">IF($D141&lt;&gt;"Serviço","",OFFSET(ORÇAMENTO!S$15,ROW(G141)-ROW(G$15),0))</f>
        <v/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 t="str">
        <f ca="1">IF($D141&lt;&gt;"Serviço","",IF(AUTOEVENTO="manual",$A141,IF(ISERROR(MATCH($A141,$A$15:OFFSET($A141,-1,0),0)),MAX($M$15:OFFSET(M141,-1,0))+1,INDEX($M$15:OFFSET(M141,-1,0),MATCH($A141,$A$15:OFFSET($A141,-1,0),0)))))</f>
        <v/>
      </c>
      <c r="N141" s="212" t="str">
        <f ca="1">IF($D141&lt;&gt;"Serviço","",IF(AUTOEVENTO="Manual",IF($A141=0,"&lt;-- defina o número do agrupador",OFFSET(EVENTOS!$D$14,$A141,0)),OFFSET($F$15,$A141,0)))</f>
        <v/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0</v>
      </c>
      <c r="AN141" s="216">
        <f ca="1">IF($D141&lt;&gt;"Serviço",0,IF(AND(AUTOEVENTO="Manual",$M141=1),0,IF(OFFSET(CRONOPLE!$F$14,$M141,AN$13)="",10^12,OFFSET(CRONOPLE!$F$14,$M141,AN$13))))</f>
        <v>0</v>
      </c>
      <c r="AO141" s="216">
        <f ca="1">IF($D141&lt;&gt;"Serviço",0,IF(AND(AUTOEVENTO="Manual",$M141=1),0,IF(OFFSET(CRONOPLE!$F$14,$M141,AO$13)="",10^12,OFFSET(CRONOPLE!$F$14,$M141,AO$13))))</f>
        <v>0</v>
      </c>
      <c r="AP141" s="216">
        <f ca="1">IF($D141&lt;&gt;"Serviço",0,IF(AND(AUTOEVENTO="Manual",$M141=1),0,IF(OFFSET(CRONOPLE!$F$14,$M141,AP$13)="",10^12,OFFSET(CRONOPLE!$F$14,$M141,AP$13))))</f>
        <v>0</v>
      </c>
      <c r="AQ141" s="216">
        <f ca="1">IF($D141&lt;&gt;"Serviço",0,IF(AND(AUTOEVENTO="Manual",$M141=1),0,IF(OFFSET(CRONOPLE!$F$14,$M141,AQ$13)="",10^12,OFFSET(CRONOPLE!$F$14,$M141,AQ$13))))</f>
        <v>0</v>
      </c>
      <c r="AR141" s="216">
        <f ca="1">IF($D141&lt;&gt;"Serviço",0,IF(AND(AUTOEVENTO="Manual",$M141=1),0,IF(OFFSET(CRONOPLE!$F$14,$M141,AR$13)="",10^12,OFFSET(CRONOPLE!$F$14,$M141,AR$13))))</f>
        <v>0</v>
      </c>
      <c r="AS141" s="216">
        <f ca="1">IF($D141&lt;&gt;"Serviço",0,IF(AND(AUTOEVENTO="Manual",$M141=1),0,IF(OFFSET(CRONOPLE!$F$14,$M141,AS$13)="",10^12,OFFSET(CRONOPLE!$F$14,$M141,AS$13))))</f>
        <v>0</v>
      </c>
      <c r="AT141" s="216">
        <f ca="1">IF($D141&lt;&gt;"Serviço",0,IF(AND(AUTOEVENTO="Manual",$M141=1),0,IF(OFFSET(CRONOPLE!$F$14,$M141,AT$13)="",10^12,OFFSET(CRONOPLE!$F$14,$M141,AT$13))))</f>
        <v>0</v>
      </c>
      <c r="AU141" s="216">
        <f ca="1">IF($D141&lt;&gt;"Serviço",0,IF(AND(AUTOEVENTO="Manual",$M141=1),0,IF(OFFSET(CRONOPLE!$F$14,$M141,AU$13)="",10^12,OFFSET(CRONOPLE!$F$14,$M141,AU$13))))</f>
        <v>0</v>
      </c>
      <c r="AV141" s="216">
        <f ca="1">IF($D141&lt;&gt;"Serviço",0,IF(AND(AUTOEVENTO="Manual",$M141=1),0,IF(OFFSET(CRONOPLE!$F$14,$M141,AV$13)="",10^12,OFFSET(CRONOPLE!$F$14,$M141,AV$13))))</f>
        <v>0</v>
      </c>
      <c r="AX141" s="217">
        <f ca="1">IF($D141&lt;&gt;"Serviço",0,IF(OR(AND(AUTOEVENTO="Manual",$M141=1),$M141&gt;(ROW(PLE.lastrow)-ROW(PLE.firstrow))),0,IF(OFFSET(PLE!$G$14,$M141,AX$13)="",10^12,OFFSET(PLE!$G$14,$M141,AX$13))))</f>
        <v>0</v>
      </c>
      <c r="AY141" s="217">
        <f ca="1">IF($D141&lt;&gt;"Serviço",0,IF(OR(AND(AUTOEVENTO="Manual",$M141=1),$M141&gt;(ROW(PLE.lastrow)-ROW(PLE.firstrow))),0,IF(OFFSET(PLE!$G$14,$M141,AY$13)="",10^12,OFFSET(PLE!$G$14,$M141,AY$13))))</f>
        <v>0</v>
      </c>
      <c r="AZ141" s="217">
        <f ca="1">IF($D141&lt;&gt;"Serviço",0,IF(OR(AND(AUTOEVENTO="Manual",$M141=1),$M141&gt;(ROW(PLE.lastrow)-ROW(PLE.firstrow))),0,IF(OFFSET(PLE!$G$14,$M141,AZ$13)="",10^12,OFFSET(PLE!$G$14,$M141,AZ$13))))</f>
        <v>0</v>
      </c>
      <c r="BA141" s="217">
        <f ca="1">IF($D141&lt;&gt;"Serviço",0,IF(OR(AND(AUTOEVENTO="Manual",$M141=1),$M141&gt;(ROW(PLE.lastrow)-ROW(PLE.firstrow))),0,IF(OFFSET(PLE!$G$14,$M141,BA$13)="",10^12,OFFSET(PLE!$G$14,$M141,BA$13))))</f>
        <v>0</v>
      </c>
      <c r="BB141" s="217">
        <f ca="1">IF($D141&lt;&gt;"Serviço",0,IF(OR(AND(AUTOEVENTO="Manual",$M141=1),$M141&gt;(ROW(PLE.lastrow)-ROW(PLE.firstrow))),0,IF(OFFSET(PLE!$G$14,$M141,BB$13)="",10^12,OFFSET(PLE!$G$14,$M141,BB$13))))</f>
        <v>0</v>
      </c>
      <c r="BC141" s="217">
        <f ca="1">IF($D141&lt;&gt;"Serviço",0,IF(OR(AND(AUTOEVENTO="Manual",$M141=1),$M141&gt;(ROW(PLE.lastrow)-ROW(PLE.firstrow))),0,IF(OFFSET(PLE!$G$14,$M141,BC$13)="",10^12,OFFSET(PLE!$G$14,$M141,BC$13))))</f>
        <v>0</v>
      </c>
      <c r="BD141" s="217">
        <f ca="1">IF($D141&lt;&gt;"Serviço",0,IF(OR(AND(AUTOEVENTO="Manual",$M141=1),$M141&gt;(ROW(PLE.lastrow)-ROW(PLE.firstrow))),0,IF(OFFSET(PLE!$G$14,$M141,BD$13)="",10^12,OFFSET(PLE!$G$14,$M141,BD$13))))</f>
        <v>0</v>
      </c>
      <c r="BE141" s="217">
        <f ca="1">IF($D141&lt;&gt;"Serviço",0,IF(OR(AND(AUTOEVENTO="Manual",$M141=1),$M141&gt;(ROW(PLE.lastrow)-ROW(PLE.firstrow))),0,IF(OFFSET(PLE!$G$14,$M141,BE$13)="",10^12,OFFSET(PLE!$G$14,$M141,BE$13))))</f>
        <v>0</v>
      </c>
      <c r="BF141" s="217">
        <f ca="1">IF($D141&lt;&gt;"Serviço",0,IF(OR(AND(AUTOEVENTO="Manual",$M141=1),$M141&gt;(ROW(PLE.lastrow)-ROW(PLE.firstrow))),0,IF(OFFSET(PLE!$G$14,$M141,BF$13)="",10^12,OFFSET(PLE!$G$14,$M141,BF$13))))</f>
        <v>0</v>
      </c>
      <c r="BG141" s="217">
        <f ca="1">IF($D141&lt;&gt;"Serviço",0,IF(OR(AND(AUTOEVENTO="Manual",$M141=1),$M141&gt;(ROW(PLE.lastrow)-ROW(PLE.firstrow))),0,IF(OFFSET(PLE!$G$14,$M141,BG$13)="",10^12,OFFSET(PLE!$G$14,$M141,BG$13))))</f>
        <v>0</v>
      </c>
    </row>
    <row r="142" spans="1:59" ht="38.25" x14ac:dyDescent="0.2">
      <c r="A142" s="9" t="str">
        <f t="shared" ca="1" si="9"/>
        <v>126</v>
      </c>
      <c r="B142" s="9" t="str">
        <f ca="1">OFFSET(ORÇAMENTO!C$15,ROW(B142)-ROW(B$15),0)</f>
        <v>S</v>
      </c>
      <c r="C142" s="9" t="str">
        <f ca="1">OFFSET(ORÇAMENTO!L$15,ROW(C142)-ROW(C$15),0)</f>
        <v>F</v>
      </c>
      <c r="D142" s="146" t="str">
        <f ca="1">OFFSET(ORÇAMENTO!N$15,ROW(D142)-ROW(D$15),0)</f>
        <v>Serviço</v>
      </c>
      <c r="E142" s="206" t="str">
        <f ca="1">OFFSET(ORÇAMENTO!O$15,ROW(E142)-ROW(E$15),0)</f>
        <v>1.6.1.</v>
      </c>
      <c r="F142" s="207" t="str">
        <f ca="1">OFFSET(ORÇAMENTO!R$15,ROW(F142)-ROW(F$15),0)</f>
        <v>(abra o arquivo 'Referência 05-2023.xls)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3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7</v>
      </c>
      <c r="N142" s="212" t="str">
        <f ca="1">IF($D142&lt;&gt;"Serviço","",IF(AUTOEVENTO="Manual",IF($A142=0,"&lt;-- defina o número do agrupador",OFFSET(EVENTOS!$D$14,$A142,0)),OFFSET($F$15,$A142,0)))</f>
        <v>COBERTURA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51" x14ac:dyDescent="0.2">
      <c r="A143" s="9" t="str">
        <f t="shared" ca="1" si="9"/>
        <v>126</v>
      </c>
      <c r="B143" s="9" t="str">
        <f ca="1">OFFSET(ORÇAMENTO!C$15,ROW(B143)-ROW(B$15),0)</f>
        <v>S</v>
      </c>
      <c r="C143" s="9" t="str">
        <f ca="1">OFFSET(ORÇAMENTO!L$15,ROW(C143)-ROW(C$15),0)</f>
        <v>F</v>
      </c>
      <c r="D143" s="146" t="str">
        <f ca="1">OFFSET(ORÇAMENTO!N$15,ROW(D143)-ROW(D$15),0)</f>
        <v>Serviço</v>
      </c>
      <c r="E143" s="206" t="str">
        <f ca="1">OFFSET(ORÇAMENTO!O$15,ROW(E143)-ROW(E$15),0)</f>
        <v>1.6.2.</v>
      </c>
      <c r="F143" s="207" t="str">
        <f ca="1">OFFSET(ORÇAMENTO!R$15,ROW(F143)-ROW(F$15),0)</f>
        <v>(abra o arquivo 'Referência 05-2023.xls)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109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7</v>
      </c>
      <c r="N143" s="212" t="str">
        <f ca="1">IF($D143&lt;&gt;"Serviço","",IF(AUTOEVENTO="Manual",IF($A143=0,"&lt;-- defina o número do agrupador",OFFSET(EVENTOS!$D$14,$A143,0)),OFFSET($F$15,$A143,0)))</f>
        <v>COBERTURA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51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126</v>
      </c>
      <c r="B144" s="9" t="str">
        <f ca="1">OFFSET(ORÇAMENTO!C$15,ROW(B144)-ROW(B$15),0)</f>
        <v>S</v>
      </c>
      <c r="C144" s="9" t="str">
        <f ca="1">OFFSET(ORÇAMENTO!L$15,ROW(C144)-ROW(C$15),0)</f>
        <v>F</v>
      </c>
      <c r="D144" s="146" t="str">
        <f ca="1">OFFSET(ORÇAMENTO!N$15,ROW(D144)-ROW(D$15),0)</f>
        <v>Serviço</v>
      </c>
      <c r="E144" s="206" t="str">
        <f ca="1">OFFSET(ORÇAMENTO!O$15,ROW(E144)-ROW(E$15),0)</f>
        <v>1.6.3.</v>
      </c>
      <c r="F144" s="207" t="str">
        <f ca="1">OFFSET(ORÇAMENTO!R$15,ROW(F144)-ROW(F$15),0)</f>
        <v>(abra o arquivo 'Referência 05-2023.xls)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109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7</v>
      </c>
      <c r="N144" s="212" t="str">
        <f ca="1">IF($D144&lt;&gt;"Serviço","",IF(AUTOEVENTO="Manual",IF($A144=0,"&lt;-- defina o número do agrupador",OFFSET(EVENTOS!$D$14,$A144,0)),OFFSET($F$15,$A144,0)))</f>
        <v>COBERTURA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25.5" x14ac:dyDescent="0.2">
      <c r="A145" s="9" t="str">
        <f t="shared" ca="1" si="10"/>
        <v>126</v>
      </c>
      <c r="B145" s="9" t="str">
        <f ca="1">OFFSET(ORÇAMENTO!C$15,ROW(B145)-ROW(B$15),0)</f>
        <v>S</v>
      </c>
      <c r="C145" s="9" t="str">
        <f ca="1">OFFSET(ORÇAMENTO!L$15,ROW(C145)-ROW(C$15),0)</f>
        <v>F</v>
      </c>
      <c r="D145" s="146" t="str">
        <f ca="1">OFFSET(ORÇAMENTO!N$15,ROW(D145)-ROW(D$15),0)</f>
        <v>Serviço</v>
      </c>
      <c r="E145" s="206" t="str">
        <f ca="1">OFFSET(ORÇAMENTO!O$15,ROW(E145)-ROW(E$15),0)</f>
        <v>1.6.4.</v>
      </c>
      <c r="F145" s="207" t="str">
        <f ca="1">OFFSET(ORÇAMENTO!R$15,ROW(F145)-ROW(F$15),0)</f>
        <v>(abra o arquivo 'Referência 05-2023.xls)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109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7</v>
      </c>
      <c r="N145" s="212" t="str">
        <f ca="1">IF($D145&lt;&gt;"Serviço","",IF(AUTOEVENTO="Manual",IF($A145=0,"&lt;-- defina o número do agrupador",OFFSET(EVENTOS!$D$14,$A145,0)),OFFSET($F$15,$A145,0)))</f>
        <v>COBERTURA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25.5" x14ac:dyDescent="0.2">
      <c r="A146" s="9" t="str">
        <f t="shared" ca="1" si="10"/>
        <v>126</v>
      </c>
      <c r="B146" s="9" t="str">
        <f ca="1">OFFSET(ORÇAMENTO!C$15,ROW(B146)-ROW(B$15),0)</f>
        <v>S</v>
      </c>
      <c r="C146" s="9" t="str">
        <f ca="1">OFFSET(ORÇAMENTO!L$15,ROW(C146)-ROW(C$15),0)</f>
        <v>F</v>
      </c>
      <c r="D146" s="146" t="str">
        <f ca="1">OFFSET(ORÇAMENTO!N$15,ROW(D146)-ROW(D$15),0)</f>
        <v>Serviço</v>
      </c>
      <c r="E146" s="206" t="str">
        <f ca="1">OFFSET(ORÇAMENTO!O$15,ROW(E146)-ROW(E$15),0)</f>
        <v>1.6.5.</v>
      </c>
      <c r="F146" s="207" t="str">
        <f ca="1">OFFSET(ORÇAMENTO!R$15,ROW(F146)-ROW(F$15),0)</f>
        <v>(abra o arquivo 'Referência 05-2023.xls)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72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7</v>
      </c>
      <c r="N146" s="212" t="str">
        <f ca="1">IF($D146&lt;&gt;"Serviço","",IF(AUTOEVENTO="Manual",IF($A146=0,"&lt;-- defina o número do agrupador",OFFSET(EVENTOS!$D$14,$A146,0)),OFFSET($F$15,$A146,0)))</f>
        <v>COBERTURA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126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(abra o arquivo 'Referência 05-2023.xls)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7</v>
      </c>
      <c r="N147" s="212" t="str">
        <f ca="1">IF($D147&lt;&gt;"Serviço","",IF(AUTOEVENTO="Manual",IF($A147=0,"&lt;-- defina o número do agrupador",OFFSET(EVENTOS!$D$14,$A147,0)),OFFSET($F$15,$A147,0)))</f>
        <v>COBERTURA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126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(abra o arquivo 'Referência 05-2023.xls)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7</v>
      </c>
      <c r="N148" s="212" t="str">
        <f ca="1">IF($D148&lt;&gt;"Serviço","",IF(AUTOEVENTO="Manual",IF($A148=0,"&lt;-- defina o número do agrupador",OFFSET(EVENTOS!$D$14,$A148,0)),OFFSET($F$15,$A148,0)))</f>
        <v>COBERTURA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126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(abra o arquivo 'Referência 05-2023.xls)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7</v>
      </c>
      <c r="N149" s="212" t="str">
        <f ca="1">IF($D149&lt;&gt;"Serviço","",IF(AUTOEVENTO="Manual",IF($A149=0,"&lt;-- defina o número do agrupador",OFFSET(EVENTOS!$D$14,$A149,0)),OFFSET($F$15,$A149,0)))</f>
        <v>COBERTURA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126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(abra o arquivo 'Referência 05-2023.xls)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7</v>
      </c>
      <c r="N150" s="212" t="str">
        <f ca="1">IF($D150&lt;&gt;"Serviço","",IF(AUTOEVENTO="Manual",IF($A150=0,"&lt;-- defina o número do agrupador",OFFSET(EVENTOS!$D$14,$A150,0)),OFFSET($F$15,$A150,0)))</f>
        <v>COBERTURA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126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(abra o arquivo 'Referência 05-2023.xls)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7</v>
      </c>
      <c r="N151" s="212" t="str">
        <f ca="1">IF($D151&lt;&gt;"Serviço","",IF(AUTOEVENTO="Manual",IF($A151=0,"&lt;-- defina o número do agrupador",OFFSET(EVENTOS!$D$14,$A151,0)),OFFSET($F$15,$A151,0)))</f>
        <v>COBERTURA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126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(abra o arquivo 'Referência 05-2023.xls)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7</v>
      </c>
      <c r="N152" s="212" t="str">
        <f ca="1">IF($D152&lt;&gt;"Serviço","",IF(AUTOEVENTO="Manual",IF($A152=0,"&lt;-- defina o número do agrupador",OFFSET(EVENTOS!$D$14,$A152,0)),OFFSET($F$15,$A152,0)))</f>
        <v>COBERTURA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126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(abra o arquivo 'Referência 05-2023.xls)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7</v>
      </c>
      <c r="N153" s="212" t="str">
        <f ca="1">IF($D153&lt;&gt;"Serviço","",IF(AUTOEVENTO="Manual",IF($A153=0,"&lt;-- defina o número do agrupador",OFFSET(EVENTOS!$D$14,$A153,0)),OFFSET($F$15,$A153,0)))</f>
        <v>COBERTURA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126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(abra o arquivo 'Referência 05-2023.xls)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7</v>
      </c>
      <c r="N154" s="212" t="str">
        <f ca="1">IF($D154&lt;&gt;"Serviço","",IF(AUTOEVENTO="Manual",IF($A154=0,"&lt;-- defina o número do agrupador",OFFSET(EVENTOS!$D$14,$A154,0)),OFFSET($F$15,$A154,0)))</f>
        <v>COBERTURA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126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(abra o arquivo 'Referência 05-2023.xls)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7</v>
      </c>
      <c r="N155" s="212" t="str">
        <f ca="1">IF($D155&lt;&gt;"Serviço","",IF(AUTOEVENTO="Manual",IF($A155=0,"&lt;-- defina o número do agrupador",OFFSET(EVENTOS!$D$14,$A155,0)),OFFSET($F$15,$A155,0)))</f>
        <v>COBERTURA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126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(abra o arquivo 'Referência 05-2023.xls)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7</v>
      </c>
      <c r="N156" s="212" t="str">
        <f ca="1">IF($D156&lt;&gt;"Serviço","",IF(AUTOEVENTO="Manual",IF($A156=0,"&lt;-- defina o número do agrupador",OFFSET(EVENTOS!$D$14,$A156,0)),OFFSET($F$15,$A156,0)))</f>
        <v>COBERTURA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142.</v>
      </c>
      <c r="B157" s="9">
        <f ca="1">OFFSET(ORÇAMENTO!C$15,ROW(B157)-ROW(B$15),0)</f>
        <v>2</v>
      </c>
      <c r="C157" s="9" t="str">
        <f ca="1">OFFSET(ORÇAMENTO!L$15,ROW(C157)-ROW(C$15),0)</f>
        <v>F</v>
      </c>
      <c r="D157" s="146" t="str">
        <f ca="1">OFFSET(ORÇAMENTO!N$15,ROW(D157)-ROW(D$15),0)</f>
        <v>Nível 2</v>
      </c>
      <c r="E157" s="206" t="str">
        <f ca="1">OFFSET(ORÇAMENTO!O$15,ROW(E157)-ROW(E$15),0)</f>
        <v>1.7.</v>
      </c>
      <c r="F157" s="207" t="str">
        <f ca="1">OFFSET(ORÇAMENTO!R$15,ROW(F157)-ROW(F$15),0)</f>
        <v>PINTURA E REVESTIMENTO</v>
      </c>
      <c r="G157" s="208" t="str">
        <f ca="1">IF($D157&lt;&gt;"Serviço","",OFFSET(ORÇAMENTO!S$15,ROW(G157)-ROW(G$15),0))</f>
        <v/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 t="str">
        <f ca="1">IF($D157&lt;&gt;"Serviço","",IF(AUTOEVENTO="manual",$A157,IF(ISERROR(MATCH($A157,$A$15:OFFSET($A157,-1,0),0)),MAX($M$15:OFFSET(M157,-1,0))+1,INDEX($M$15:OFFSET(M157,-1,0),MATCH($A157,$A$15:OFFSET($A157,-1,0),0)))))</f>
        <v/>
      </c>
      <c r="N157" s="212" t="str">
        <f ca="1">IF($D157&lt;&gt;"Serviço","",IF(AUTOEVENTO="Manual",IF($A157=0,"&lt;-- defina o número do agrupador",OFFSET(EVENTOS!$D$14,$A157,0)),OFFSET($F$15,$A157,0)))</f>
        <v/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0</v>
      </c>
      <c r="AN157" s="216">
        <f ca="1">IF($D157&lt;&gt;"Serviço",0,IF(AND(AUTOEVENTO="Manual",$M157=1),0,IF(OFFSET(CRONOPLE!$F$14,$M157,AN$13)="",10^12,OFFSET(CRONOPLE!$F$14,$M157,AN$13))))</f>
        <v>0</v>
      </c>
      <c r="AO157" s="216">
        <f ca="1">IF($D157&lt;&gt;"Serviço",0,IF(AND(AUTOEVENTO="Manual",$M157=1),0,IF(OFFSET(CRONOPLE!$F$14,$M157,AO$13)="",10^12,OFFSET(CRONOPLE!$F$14,$M157,AO$13))))</f>
        <v>0</v>
      </c>
      <c r="AP157" s="216">
        <f ca="1">IF($D157&lt;&gt;"Serviço",0,IF(AND(AUTOEVENTO="Manual",$M157=1),0,IF(OFFSET(CRONOPLE!$F$14,$M157,AP$13)="",10^12,OFFSET(CRONOPLE!$F$14,$M157,AP$13))))</f>
        <v>0</v>
      </c>
      <c r="AQ157" s="216">
        <f ca="1">IF($D157&lt;&gt;"Serviço",0,IF(AND(AUTOEVENTO="Manual",$M157=1),0,IF(OFFSET(CRONOPLE!$F$14,$M157,AQ$13)="",10^12,OFFSET(CRONOPLE!$F$14,$M157,AQ$13))))</f>
        <v>0</v>
      </c>
      <c r="AR157" s="216">
        <f ca="1">IF($D157&lt;&gt;"Serviço",0,IF(AND(AUTOEVENTO="Manual",$M157=1),0,IF(OFFSET(CRONOPLE!$F$14,$M157,AR$13)="",10^12,OFFSET(CRONOPLE!$F$14,$M157,AR$13))))</f>
        <v>0</v>
      </c>
      <c r="AS157" s="216">
        <f ca="1">IF($D157&lt;&gt;"Serviço",0,IF(AND(AUTOEVENTO="Manual",$M157=1),0,IF(OFFSET(CRONOPLE!$F$14,$M157,AS$13)="",10^12,OFFSET(CRONOPLE!$F$14,$M157,AS$13))))</f>
        <v>0</v>
      </c>
      <c r="AT157" s="216">
        <f ca="1">IF($D157&lt;&gt;"Serviço",0,IF(AND(AUTOEVENTO="Manual",$M157=1),0,IF(OFFSET(CRONOPLE!$F$14,$M157,AT$13)="",10^12,OFFSET(CRONOPLE!$F$14,$M157,AT$13))))</f>
        <v>0</v>
      </c>
      <c r="AU157" s="216">
        <f ca="1">IF($D157&lt;&gt;"Serviço",0,IF(AND(AUTOEVENTO="Manual",$M157=1),0,IF(OFFSET(CRONOPLE!$F$14,$M157,AU$13)="",10^12,OFFSET(CRONOPLE!$F$14,$M157,AU$13))))</f>
        <v>0</v>
      </c>
      <c r="AV157" s="216">
        <f ca="1">IF($D157&lt;&gt;"Serviço",0,IF(AND(AUTOEVENTO="Manual",$M157=1),0,IF(OFFSET(CRONOPLE!$F$14,$M157,AV$13)="",10^12,OFFSET(CRONOPLE!$F$14,$M157,AV$13))))</f>
        <v>0</v>
      </c>
      <c r="AX157" s="217">
        <f ca="1">IF($D157&lt;&gt;"Serviço",0,IF(OR(AND(AUTOEVENTO="Manual",$M157=1),$M157&gt;(ROW(PLE.lastrow)-ROW(PLE.firstrow))),0,IF(OFFSET(PLE!$G$14,$M157,AX$13)="",10^12,OFFSET(PLE!$G$14,$M157,AX$13))))</f>
        <v>0</v>
      </c>
      <c r="AY157" s="217">
        <f ca="1">IF($D157&lt;&gt;"Serviço",0,IF(OR(AND(AUTOEVENTO="Manual",$M157=1),$M157&gt;(ROW(PLE.lastrow)-ROW(PLE.firstrow))),0,IF(OFFSET(PLE!$G$14,$M157,AY$13)="",10^12,OFFSET(PLE!$G$14,$M157,AY$13))))</f>
        <v>0</v>
      </c>
      <c r="AZ157" s="217">
        <f ca="1">IF($D157&lt;&gt;"Serviço",0,IF(OR(AND(AUTOEVENTO="Manual",$M157=1),$M157&gt;(ROW(PLE.lastrow)-ROW(PLE.firstrow))),0,IF(OFFSET(PLE!$G$14,$M157,AZ$13)="",10^12,OFFSET(PLE!$G$14,$M157,AZ$13))))</f>
        <v>0</v>
      </c>
      <c r="BA157" s="217">
        <f ca="1">IF($D157&lt;&gt;"Serviço",0,IF(OR(AND(AUTOEVENTO="Manual",$M157=1),$M157&gt;(ROW(PLE.lastrow)-ROW(PLE.firstrow))),0,IF(OFFSET(PLE!$G$14,$M157,BA$13)="",10^12,OFFSET(PLE!$G$14,$M157,BA$13))))</f>
        <v>0</v>
      </c>
      <c r="BB157" s="217">
        <f ca="1">IF($D157&lt;&gt;"Serviço",0,IF(OR(AND(AUTOEVENTO="Manual",$M157=1),$M157&gt;(ROW(PLE.lastrow)-ROW(PLE.firstrow))),0,IF(OFFSET(PLE!$G$14,$M157,BB$13)="",10^12,OFFSET(PLE!$G$14,$M157,BB$13))))</f>
        <v>0</v>
      </c>
      <c r="BC157" s="217">
        <f ca="1">IF($D157&lt;&gt;"Serviço",0,IF(OR(AND(AUTOEVENTO="Manual",$M157=1),$M157&gt;(ROW(PLE.lastrow)-ROW(PLE.firstrow))),0,IF(OFFSET(PLE!$G$14,$M157,BC$13)="",10^12,OFFSET(PLE!$G$14,$M157,BC$13))))</f>
        <v>0</v>
      </c>
      <c r="BD157" s="217">
        <f ca="1">IF($D157&lt;&gt;"Serviço",0,IF(OR(AND(AUTOEVENTO="Manual",$M157=1),$M157&gt;(ROW(PLE.lastrow)-ROW(PLE.firstrow))),0,IF(OFFSET(PLE!$G$14,$M157,BD$13)="",10^12,OFFSET(PLE!$G$14,$M157,BD$13))))</f>
        <v>0</v>
      </c>
      <c r="BE157" s="217">
        <f ca="1">IF($D157&lt;&gt;"Serviço",0,IF(OR(AND(AUTOEVENTO="Manual",$M157=1),$M157&gt;(ROW(PLE.lastrow)-ROW(PLE.firstrow))),0,IF(OFFSET(PLE!$G$14,$M157,BE$13)="",10^12,OFFSET(PLE!$G$14,$M157,BE$13))))</f>
        <v>0</v>
      </c>
      <c r="BF157" s="217">
        <f ca="1">IF($D157&lt;&gt;"Serviço",0,IF(OR(AND(AUTOEVENTO="Manual",$M157=1),$M157&gt;(ROW(PLE.lastrow)-ROW(PLE.firstrow))),0,IF(OFFSET(PLE!$G$14,$M157,BF$13)="",10^12,OFFSET(PLE!$G$14,$M157,BF$13))))</f>
        <v>0</v>
      </c>
      <c r="BG157" s="217">
        <f ca="1">IF($D157&lt;&gt;"Serviço",0,IF(OR(AND(AUTOEVENTO="Manual",$M157=1),$M157&gt;(ROW(PLE.lastrow)-ROW(PLE.firstrow))),0,IF(OFFSET(PLE!$G$14,$M157,BG$13)="",10^12,OFFSET(PLE!$G$14,$M157,BG$13))))</f>
        <v>0</v>
      </c>
    </row>
    <row r="158" spans="1:59" ht="38.25" x14ac:dyDescent="0.2">
      <c r="A158" s="9" t="str">
        <f t="shared" ca="1" si="10"/>
        <v>142</v>
      </c>
      <c r="B158" s="9" t="str">
        <f ca="1">OFFSET(ORÇAMENTO!C$15,ROW(B158)-ROW(B$15),0)</f>
        <v>S</v>
      </c>
      <c r="C158" s="9" t="str">
        <f ca="1">OFFSET(ORÇAMENTO!L$15,ROW(C158)-ROW(C$15),0)</f>
        <v>F</v>
      </c>
      <c r="D158" s="146" t="str">
        <f ca="1">OFFSET(ORÇAMENTO!N$15,ROW(D158)-ROW(D$15),0)</f>
        <v>Serviço</v>
      </c>
      <c r="E158" s="206" t="str">
        <f ca="1">OFFSET(ORÇAMENTO!O$15,ROW(E158)-ROW(E$15),0)</f>
        <v>1.7.1.</v>
      </c>
      <c r="F158" s="207" t="str">
        <f ca="1">OFFSET(ORÇAMENTO!R$15,ROW(F158)-ROW(F$15),0)</f>
        <v>(abra o arquivo 'Referência 05-2023.xls)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120.32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8</v>
      </c>
      <c r="N158" s="212" t="str">
        <f ca="1">IF($D158&lt;&gt;"Serviço","",IF(AUTOEVENTO="Manual",IF($A158=0,"&lt;-- defina o número do agrupador",OFFSET(EVENTOS!$D$14,$A158,0)),OFFSET($F$15,$A158,0)))</f>
        <v>PINTURA E REVESTIMENTO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25.5" x14ac:dyDescent="0.2">
      <c r="A159" s="9" t="str">
        <f t="shared" ca="1" si="10"/>
        <v>142</v>
      </c>
      <c r="B159" s="9" t="str">
        <f ca="1">OFFSET(ORÇAMENTO!C$15,ROW(B159)-ROW(B$15),0)</f>
        <v>S</v>
      </c>
      <c r="C159" s="9" t="str">
        <f ca="1">OFFSET(ORÇAMENTO!L$15,ROW(C159)-ROW(C$15),0)</f>
        <v>F</v>
      </c>
      <c r="D159" s="146" t="str">
        <f ca="1">OFFSET(ORÇAMENTO!N$15,ROW(D159)-ROW(D$15),0)</f>
        <v>Serviço</v>
      </c>
      <c r="E159" s="206" t="str">
        <f ca="1">OFFSET(ORÇAMENTO!O$15,ROW(E159)-ROW(E$15),0)</f>
        <v>1.7.2.</v>
      </c>
      <c r="F159" s="207" t="str">
        <f ca="1">OFFSET(ORÇAMENTO!R$15,ROW(F159)-ROW(F$15),0)</f>
        <v>(abra o arquivo 'Referência 05-2023.xls)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472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8</v>
      </c>
      <c r="N159" s="212" t="str">
        <f ca="1">IF($D159&lt;&gt;"Serviço","",IF(AUTOEVENTO="Manual",IF($A159=0,"&lt;-- defina o número do agrupador",OFFSET(EVENTOS!$D$14,$A159,0)),OFFSET($F$15,$A159,0)))</f>
        <v>PINTURA E REVESTIMENTO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25.5" x14ac:dyDescent="0.2">
      <c r="A160" s="9" t="str">
        <f t="shared" ca="1" si="10"/>
        <v>142</v>
      </c>
      <c r="B160" s="9" t="str">
        <f ca="1">OFFSET(ORÇAMENTO!C$15,ROW(B160)-ROW(B$15),0)</f>
        <v>S</v>
      </c>
      <c r="C160" s="9" t="str">
        <f ca="1">OFFSET(ORÇAMENTO!L$15,ROW(C160)-ROW(C$15),0)</f>
        <v>F</v>
      </c>
      <c r="D160" s="146" t="str">
        <f ca="1">OFFSET(ORÇAMENTO!N$15,ROW(D160)-ROW(D$15),0)</f>
        <v>Serviço</v>
      </c>
      <c r="E160" s="206" t="str">
        <f ca="1">OFFSET(ORÇAMENTO!O$15,ROW(E160)-ROW(E$15),0)</f>
        <v>1.7.3.</v>
      </c>
      <c r="F160" s="207" t="str">
        <f ca="1">OFFSET(ORÇAMENTO!R$15,ROW(F160)-ROW(F$15),0)</f>
        <v>(abra o arquivo 'Referência 05-2023.xls)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225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8</v>
      </c>
      <c r="N160" s="212" t="str">
        <f ca="1">IF($D160&lt;&gt;"Serviço","",IF(AUTOEVENTO="Manual",IF($A160=0,"&lt;-- defina o número do agrupador",OFFSET(EVENTOS!$D$14,$A160,0)),OFFSET($F$15,$A160,0)))</f>
        <v>PINTURA E REVESTIMENTO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25.5" x14ac:dyDescent="0.2">
      <c r="A161" s="9" t="str">
        <f t="shared" ca="1" si="10"/>
        <v>142</v>
      </c>
      <c r="B161" s="9" t="str">
        <f ca="1">OFFSET(ORÇAMENTO!C$15,ROW(B161)-ROW(B$15),0)</f>
        <v>S</v>
      </c>
      <c r="C161" s="9" t="str">
        <f ca="1">OFFSET(ORÇAMENTO!L$15,ROW(C161)-ROW(C$15),0)</f>
        <v>F</v>
      </c>
      <c r="D161" s="146" t="str">
        <f ca="1">OFFSET(ORÇAMENTO!N$15,ROW(D161)-ROW(D$15),0)</f>
        <v>Serviço</v>
      </c>
      <c r="E161" s="206" t="str">
        <f ca="1">OFFSET(ORÇAMENTO!O$15,ROW(E161)-ROW(E$15),0)</f>
        <v>1.7.4.</v>
      </c>
      <c r="F161" s="207" t="str">
        <f ca="1">OFFSET(ORÇAMENTO!R$15,ROW(F161)-ROW(F$15),0)</f>
        <v>(abra o arquivo 'Referência 05-2023.xls)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147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8</v>
      </c>
      <c r="N161" s="212" t="str">
        <f ca="1">IF($D161&lt;&gt;"Serviço","",IF(AUTOEVENTO="Manual",IF($A161=0,"&lt;-- defina o número do agrupador",OFFSET(EVENTOS!$D$14,$A161,0)),OFFSET($F$15,$A161,0)))</f>
        <v>PINTURA E REVESTIMENTO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142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(abra o arquivo 'Referência 05-2023.xls)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8</v>
      </c>
      <c r="N162" s="212" t="str">
        <f ca="1">IF($D162&lt;&gt;"Serviço","",IF(AUTOEVENTO="Manual",IF($A162=0,"&lt;-- defina o número do agrupador",OFFSET(EVENTOS!$D$14,$A162,0)),OFFSET($F$15,$A162,0)))</f>
        <v>PINTURA E REVESTIMENTO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142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(abra o arquivo 'Referência 05-2023.xls)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8</v>
      </c>
      <c r="N163" s="212" t="str">
        <f ca="1">IF($D163&lt;&gt;"Serviço","",IF(AUTOEVENTO="Manual",IF($A163=0,"&lt;-- defina o número do agrupador",OFFSET(EVENTOS!$D$14,$A163,0)),OFFSET($F$15,$A163,0)))</f>
        <v>PINTURA E REVESTIMENTO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142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(abra o arquivo 'Referência 05-2023.xls)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8</v>
      </c>
      <c r="N164" s="212" t="str">
        <f ca="1">IF($D164&lt;&gt;"Serviço","",IF(AUTOEVENTO="Manual",IF($A164=0,"&lt;-- defina o número do agrupador",OFFSET(EVENTOS!$D$14,$A164,0)),OFFSET($F$15,$A164,0)))</f>
        <v>PINTURA E REVESTIMENTO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142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(abra o arquivo 'Referência 05-2023.xls)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8</v>
      </c>
      <c r="N165" s="212" t="str">
        <f ca="1">IF($D165&lt;&gt;"Serviço","",IF(AUTOEVENTO="Manual",IF($A165=0,"&lt;-- defina o número do agrupador",OFFSET(EVENTOS!$D$14,$A165,0)),OFFSET($F$15,$A165,0)))</f>
        <v>PINTURA E REVESTIMENTO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142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(abra o arquivo 'Referência 05-2023.xls)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8</v>
      </c>
      <c r="N166" s="212" t="str">
        <f ca="1">IF($D166&lt;&gt;"Serviço","",IF(AUTOEVENTO="Manual",IF($A166=0,"&lt;-- defina o número do agrupador",OFFSET(EVENTOS!$D$14,$A166,0)),OFFSET($F$15,$A166,0)))</f>
        <v>PINTURA E REVESTIMENTO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142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(abra o arquivo 'Referência 05-2023.xls)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8</v>
      </c>
      <c r="N167" s="212" t="str">
        <f ca="1">IF($D167&lt;&gt;"Serviço","",IF(AUTOEVENTO="Manual",IF($A167=0,"&lt;-- defina o número do agrupador",OFFSET(EVENTOS!$D$14,$A167,0)),OFFSET($F$15,$A167,0)))</f>
        <v>PINTURA E REVESTIMENTO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142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(abra o arquivo 'Referência 05-2023.xls)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8</v>
      </c>
      <c r="N168" s="212" t="str">
        <f ca="1">IF($D168&lt;&gt;"Serviço","",IF(AUTOEVENTO="Manual",IF($A168=0,"&lt;-- defina o número do agrupador",OFFSET(EVENTOS!$D$14,$A168,0)),OFFSET($F$15,$A168,0)))</f>
        <v>PINTURA E REVESTIMENTO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154.</v>
      </c>
      <c r="B169" s="9">
        <f ca="1">OFFSET(ORÇAMENTO!C$15,ROW(B169)-ROW(B$15),0)</f>
        <v>2</v>
      </c>
      <c r="C169" s="9" t="str">
        <f ca="1">OFFSET(ORÇAMENTO!L$15,ROW(C169)-ROW(C$15),0)</f>
        <v>F</v>
      </c>
      <c r="D169" s="146" t="str">
        <f ca="1">OFFSET(ORÇAMENTO!N$15,ROW(D169)-ROW(D$15),0)</f>
        <v>Nível 2</v>
      </c>
      <c r="E169" s="206" t="str">
        <f ca="1">OFFSET(ORÇAMENTO!O$15,ROW(E169)-ROW(E$15),0)</f>
        <v>1.8.</v>
      </c>
      <c r="F169" s="207" t="str">
        <f ca="1">OFFSET(ORÇAMENTO!R$15,ROW(F169)-ROW(F$15),0)</f>
        <v>SERVIÇOS HIDRAULICO</v>
      </c>
      <c r="G169" s="208" t="str">
        <f ca="1">IF($D169&lt;&gt;"Serviço","",OFFSET(ORÇAMENTO!S$15,ROW(G169)-ROW(G$15),0))</f>
        <v/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 t="str">
        <f ca="1">IF($D169&lt;&gt;"Serviço","",IF(AUTOEVENTO="manual",$A169,IF(ISERROR(MATCH($A169,$A$15:OFFSET($A169,-1,0),0)),MAX($M$15:OFFSET(M169,-1,0))+1,INDEX($M$15:OFFSET(M169,-1,0),MATCH($A169,$A$15:OFFSET($A169,-1,0),0)))))</f>
        <v/>
      </c>
      <c r="N169" s="212" t="str">
        <f ca="1">IF($D169&lt;&gt;"Serviço","",IF(AUTOEVENTO="Manual",IF($A169=0,"&lt;-- defina o número do agrupador",OFFSET(EVENTOS!$D$14,$A169,0)),OFFSET($F$15,$A169,0)))</f>
        <v/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0</v>
      </c>
      <c r="AN169" s="216">
        <f ca="1">IF($D169&lt;&gt;"Serviço",0,IF(AND(AUTOEVENTO="Manual",$M169=1),0,IF(OFFSET(CRONOPLE!$F$14,$M169,AN$13)="",10^12,OFFSET(CRONOPLE!$F$14,$M169,AN$13))))</f>
        <v>0</v>
      </c>
      <c r="AO169" s="216">
        <f ca="1">IF($D169&lt;&gt;"Serviço",0,IF(AND(AUTOEVENTO="Manual",$M169=1),0,IF(OFFSET(CRONOPLE!$F$14,$M169,AO$13)="",10^12,OFFSET(CRONOPLE!$F$14,$M169,AO$13))))</f>
        <v>0</v>
      </c>
      <c r="AP169" s="216">
        <f ca="1">IF($D169&lt;&gt;"Serviço",0,IF(AND(AUTOEVENTO="Manual",$M169=1),0,IF(OFFSET(CRONOPLE!$F$14,$M169,AP$13)="",10^12,OFFSET(CRONOPLE!$F$14,$M169,AP$13))))</f>
        <v>0</v>
      </c>
      <c r="AQ169" s="216">
        <f ca="1">IF($D169&lt;&gt;"Serviço",0,IF(AND(AUTOEVENTO="Manual",$M169=1),0,IF(OFFSET(CRONOPLE!$F$14,$M169,AQ$13)="",10^12,OFFSET(CRONOPLE!$F$14,$M169,AQ$13))))</f>
        <v>0</v>
      </c>
      <c r="AR169" s="216">
        <f ca="1">IF($D169&lt;&gt;"Serviço",0,IF(AND(AUTOEVENTO="Manual",$M169=1),0,IF(OFFSET(CRONOPLE!$F$14,$M169,AR$13)="",10^12,OFFSET(CRONOPLE!$F$14,$M169,AR$13))))</f>
        <v>0</v>
      </c>
      <c r="AS169" s="216">
        <f ca="1">IF($D169&lt;&gt;"Serviço",0,IF(AND(AUTOEVENTO="Manual",$M169=1),0,IF(OFFSET(CRONOPLE!$F$14,$M169,AS$13)="",10^12,OFFSET(CRONOPLE!$F$14,$M169,AS$13))))</f>
        <v>0</v>
      </c>
      <c r="AT169" s="216">
        <f ca="1">IF($D169&lt;&gt;"Serviço",0,IF(AND(AUTOEVENTO="Manual",$M169=1),0,IF(OFFSET(CRONOPLE!$F$14,$M169,AT$13)="",10^12,OFFSET(CRONOPLE!$F$14,$M169,AT$13))))</f>
        <v>0</v>
      </c>
      <c r="AU169" s="216">
        <f ca="1">IF($D169&lt;&gt;"Serviço",0,IF(AND(AUTOEVENTO="Manual",$M169=1),0,IF(OFFSET(CRONOPLE!$F$14,$M169,AU$13)="",10^12,OFFSET(CRONOPLE!$F$14,$M169,AU$13))))</f>
        <v>0</v>
      </c>
      <c r="AV169" s="216">
        <f ca="1">IF($D169&lt;&gt;"Serviço",0,IF(AND(AUTOEVENTO="Manual",$M169=1),0,IF(OFFSET(CRONOPLE!$F$14,$M169,AV$13)="",10^12,OFFSET(CRONOPLE!$F$14,$M169,AV$13))))</f>
        <v>0</v>
      </c>
      <c r="AX169" s="217">
        <f ca="1">IF($D169&lt;&gt;"Serviço",0,IF(OR(AND(AUTOEVENTO="Manual",$M169=1),$M169&gt;(ROW(PLE.lastrow)-ROW(PLE.firstrow))),0,IF(OFFSET(PLE!$G$14,$M169,AX$13)="",10^12,OFFSET(PLE!$G$14,$M169,AX$13))))</f>
        <v>0</v>
      </c>
      <c r="AY169" s="217">
        <f ca="1">IF($D169&lt;&gt;"Serviço",0,IF(OR(AND(AUTOEVENTO="Manual",$M169=1),$M169&gt;(ROW(PLE.lastrow)-ROW(PLE.firstrow))),0,IF(OFFSET(PLE!$G$14,$M169,AY$13)="",10^12,OFFSET(PLE!$G$14,$M169,AY$13))))</f>
        <v>0</v>
      </c>
      <c r="AZ169" s="217">
        <f ca="1">IF($D169&lt;&gt;"Serviço",0,IF(OR(AND(AUTOEVENTO="Manual",$M169=1),$M169&gt;(ROW(PLE.lastrow)-ROW(PLE.firstrow))),0,IF(OFFSET(PLE!$G$14,$M169,AZ$13)="",10^12,OFFSET(PLE!$G$14,$M169,AZ$13))))</f>
        <v>0</v>
      </c>
      <c r="BA169" s="217">
        <f ca="1">IF($D169&lt;&gt;"Serviço",0,IF(OR(AND(AUTOEVENTO="Manual",$M169=1),$M169&gt;(ROW(PLE.lastrow)-ROW(PLE.firstrow))),0,IF(OFFSET(PLE!$G$14,$M169,BA$13)="",10^12,OFFSET(PLE!$G$14,$M169,BA$13))))</f>
        <v>0</v>
      </c>
      <c r="BB169" s="217">
        <f ca="1">IF($D169&lt;&gt;"Serviço",0,IF(OR(AND(AUTOEVENTO="Manual",$M169=1),$M169&gt;(ROW(PLE.lastrow)-ROW(PLE.firstrow))),0,IF(OFFSET(PLE!$G$14,$M169,BB$13)="",10^12,OFFSET(PLE!$G$14,$M169,BB$13))))</f>
        <v>0</v>
      </c>
      <c r="BC169" s="217">
        <f ca="1">IF($D169&lt;&gt;"Serviço",0,IF(OR(AND(AUTOEVENTO="Manual",$M169=1),$M169&gt;(ROW(PLE.lastrow)-ROW(PLE.firstrow))),0,IF(OFFSET(PLE!$G$14,$M169,BC$13)="",10^12,OFFSET(PLE!$G$14,$M169,BC$13))))</f>
        <v>0</v>
      </c>
      <c r="BD169" s="217">
        <f ca="1">IF($D169&lt;&gt;"Serviço",0,IF(OR(AND(AUTOEVENTO="Manual",$M169=1),$M169&gt;(ROW(PLE.lastrow)-ROW(PLE.firstrow))),0,IF(OFFSET(PLE!$G$14,$M169,BD$13)="",10^12,OFFSET(PLE!$G$14,$M169,BD$13))))</f>
        <v>0</v>
      </c>
      <c r="BE169" s="217">
        <f ca="1">IF($D169&lt;&gt;"Serviço",0,IF(OR(AND(AUTOEVENTO="Manual",$M169=1),$M169&gt;(ROW(PLE.lastrow)-ROW(PLE.firstrow))),0,IF(OFFSET(PLE!$G$14,$M169,BE$13)="",10^12,OFFSET(PLE!$G$14,$M169,BE$13))))</f>
        <v>0</v>
      </c>
      <c r="BF169" s="217">
        <f ca="1">IF($D169&lt;&gt;"Serviço",0,IF(OR(AND(AUTOEVENTO="Manual",$M169=1),$M169&gt;(ROW(PLE.lastrow)-ROW(PLE.firstrow))),0,IF(OFFSET(PLE!$G$14,$M169,BF$13)="",10^12,OFFSET(PLE!$G$14,$M169,BF$13))))</f>
        <v>0</v>
      </c>
      <c r="BG169" s="217">
        <f ca="1">IF($D169&lt;&gt;"Serviço",0,IF(OR(AND(AUTOEVENTO="Manual",$M169=1),$M169&gt;(ROW(PLE.lastrow)-ROW(PLE.firstrow))),0,IF(OFFSET(PLE!$G$14,$M169,BG$13)="",10^12,OFFSET(PLE!$G$14,$M169,BG$13))))</f>
        <v>0</v>
      </c>
    </row>
    <row r="170" spans="1:59" ht="38.25" x14ac:dyDescent="0.2">
      <c r="A170" s="9" t="str">
        <f t="shared" ca="1" si="10"/>
        <v>154</v>
      </c>
      <c r="B170" s="9" t="str">
        <f ca="1">OFFSET(ORÇAMENTO!C$15,ROW(B170)-ROW(B$15),0)</f>
        <v>S</v>
      </c>
      <c r="C170" s="9" t="str">
        <f ca="1">OFFSET(ORÇAMENTO!L$15,ROW(C170)-ROW(C$15),0)</f>
        <v>F</v>
      </c>
      <c r="D170" s="146" t="str">
        <f ca="1">OFFSET(ORÇAMENTO!N$15,ROW(D170)-ROW(D$15),0)</f>
        <v>Serviço</v>
      </c>
      <c r="E170" s="206" t="str">
        <f ca="1">OFFSET(ORÇAMENTO!O$15,ROW(E170)-ROW(E$15),0)</f>
        <v>1.8.1.</v>
      </c>
      <c r="F170" s="207" t="str">
        <f ca="1">OFFSET(ORÇAMENTO!R$15,ROW(F170)-ROW(F$15),0)</f>
        <v>(abra o arquivo 'Referência 05-2023.xls)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3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9</v>
      </c>
      <c r="N170" s="212" t="str">
        <f ca="1">IF($D170&lt;&gt;"Serviço","",IF(AUTOEVENTO="Manual",IF($A170=0,"&lt;-- defina o número do agrupador",OFFSET(EVENTOS!$D$14,$A170,0)),OFFSET($F$15,$A170,0)))</f>
        <v>SERVIÇOS HIDRAULICO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38.25" x14ac:dyDescent="0.2">
      <c r="A171" s="9" t="str">
        <f t="shared" ca="1" si="10"/>
        <v>154</v>
      </c>
      <c r="B171" s="9" t="str">
        <f ca="1">OFFSET(ORÇAMENTO!C$15,ROW(B171)-ROW(B$15),0)</f>
        <v>S</v>
      </c>
      <c r="C171" s="9" t="str">
        <f ca="1">OFFSET(ORÇAMENTO!L$15,ROW(C171)-ROW(C$15),0)</f>
        <v>F</v>
      </c>
      <c r="D171" s="146" t="str">
        <f ca="1">OFFSET(ORÇAMENTO!N$15,ROW(D171)-ROW(D$15),0)</f>
        <v>Serviço</v>
      </c>
      <c r="E171" s="206" t="str">
        <f ca="1">OFFSET(ORÇAMENTO!O$15,ROW(E171)-ROW(E$15),0)</f>
        <v>1.8.2.</v>
      </c>
      <c r="F171" s="207" t="str">
        <f ca="1">OFFSET(ORÇAMENTO!R$15,ROW(F171)-ROW(F$15),0)</f>
        <v>(abra o arquivo 'Referência 05-2023.xls)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2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9</v>
      </c>
      <c r="N171" s="212" t="str">
        <f ca="1">IF($D171&lt;&gt;"Serviço","",IF(AUTOEVENTO="Manual",IF($A171=0,"&lt;-- defina o número do agrupador",OFFSET(EVENTOS!$D$14,$A171,0)),OFFSET($F$15,$A171,0)))</f>
        <v>SERVIÇOS HIDRAULICO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63.75" x14ac:dyDescent="0.2">
      <c r="A172" s="9" t="str">
        <f t="shared" ca="1" si="10"/>
        <v>154</v>
      </c>
      <c r="B172" s="9" t="str">
        <f ca="1">OFFSET(ORÇAMENTO!C$15,ROW(B172)-ROW(B$15),0)</f>
        <v>S</v>
      </c>
      <c r="C172" s="9" t="str">
        <f ca="1">OFFSET(ORÇAMENTO!L$15,ROW(C172)-ROW(C$15),0)</f>
        <v>F</v>
      </c>
      <c r="D172" s="146" t="str">
        <f ca="1">OFFSET(ORÇAMENTO!N$15,ROW(D172)-ROW(D$15),0)</f>
        <v>Serviço</v>
      </c>
      <c r="E172" s="206" t="str">
        <f ca="1">OFFSET(ORÇAMENTO!O$15,ROW(E172)-ROW(E$15),0)</f>
        <v>1.8.3.</v>
      </c>
      <c r="F172" s="207" t="str">
        <f ca="1">OFFSET(ORÇAMENTO!R$15,ROW(F172)-ROW(F$15),0)</f>
        <v>(abra o arquivo 'Referência 05-2023.xls)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85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9</v>
      </c>
      <c r="N172" s="212" t="str">
        <f ca="1">IF($D172&lt;&gt;"Serviço","",IF(AUTOEVENTO="Manual",IF($A172=0,"&lt;-- defina o número do agrupador",OFFSET(EVENTOS!$D$14,$A172,0)),OFFSET($F$15,$A172,0)))</f>
        <v>SERVIÇOS HIDRAULICO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51" x14ac:dyDescent="0.2">
      <c r="A173" s="9" t="str">
        <f t="shared" ca="1" si="10"/>
        <v>154</v>
      </c>
      <c r="B173" s="9" t="str">
        <f ca="1">OFFSET(ORÇAMENTO!C$15,ROW(B173)-ROW(B$15),0)</f>
        <v>S</v>
      </c>
      <c r="C173" s="9" t="str">
        <f ca="1">OFFSET(ORÇAMENTO!L$15,ROW(C173)-ROW(C$15),0)</f>
        <v>F</v>
      </c>
      <c r="D173" s="146" t="str">
        <f ca="1">OFFSET(ORÇAMENTO!N$15,ROW(D173)-ROW(D$15),0)</f>
        <v>Serviço</v>
      </c>
      <c r="E173" s="206" t="str">
        <f ca="1">OFFSET(ORÇAMENTO!O$15,ROW(E173)-ROW(E$15),0)</f>
        <v>1.8.4.</v>
      </c>
      <c r="F173" s="207" t="str">
        <f ca="1">OFFSET(ORÇAMENTO!R$15,ROW(F173)-ROW(F$15),0)</f>
        <v>(abra o arquivo 'Referência 05-2023.xls)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1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9</v>
      </c>
      <c r="N173" s="212" t="str">
        <f ca="1">IF($D173&lt;&gt;"Serviço","",IF(AUTOEVENTO="Manual",IF($A173=0,"&lt;-- defina o número do agrupador",OFFSET(EVENTOS!$D$14,$A173,0)),OFFSET($F$15,$A173,0)))</f>
        <v>SERVIÇOS HIDRAULICO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25.5" x14ac:dyDescent="0.2">
      <c r="A174" s="9" t="str">
        <f t="shared" ca="1" si="10"/>
        <v>154</v>
      </c>
      <c r="B174" s="9" t="str">
        <f ca="1">OFFSET(ORÇAMENTO!C$15,ROW(B174)-ROW(B$15),0)</f>
        <v>S</v>
      </c>
      <c r="C174" s="9" t="str">
        <f ca="1">OFFSET(ORÇAMENTO!L$15,ROW(C174)-ROW(C$15),0)</f>
        <v>F</v>
      </c>
      <c r="D174" s="146" t="str">
        <f ca="1">OFFSET(ORÇAMENTO!N$15,ROW(D174)-ROW(D$15),0)</f>
        <v>Serviço</v>
      </c>
      <c r="E174" s="206" t="str">
        <f ca="1">OFFSET(ORÇAMENTO!O$15,ROW(E174)-ROW(E$15),0)</f>
        <v>1.8.5.</v>
      </c>
      <c r="F174" s="207" t="str">
        <f ca="1">OFFSET(ORÇAMENTO!R$15,ROW(F174)-ROW(F$15),0)</f>
        <v>(abra o arquivo 'Referência 05-2023.xls)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2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9</v>
      </c>
      <c r="N174" s="212" t="str">
        <f ca="1">IF($D174&lt;&gt;"Serviço","",IF(AUTOEVENTO="Manual",IF($A174=0,"&lt;-- defina o número do agrupador",OFFSET(EVENTOS!$D$14,$A174,0)),OFFSET($F$15,$A174,0)))</f>
        <v>SERVIÇOS HIDRAULICO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51" x14ac:dyDescent="0.2">
      <c r="A175" s="9" t="str">
        <f t="shared" ca="1" si="10"/>
        <v>154</v>
      </c>
      <c r="B175" s="9" t="str">
        <f ca="1">OFFSET(ORÇAMENTO!C$15,ROW(B175)-ROW(B$15),0)</f>
        <v>S</v>
      </c>
      <c r="C175" s="9" t="str">
        <f ca="1">OFFSET(ORÇAMENTO!L$15,ROW(C175)-ROW(C$15),0)</f>
        <v>F</v>
      </c>
      <c r="D175" s="146" t="str">
        <f ca="1">OFFSET(ORÇAMENTO!N$15,ROW(D175)-ROW(D$15),0)</f>
        <v>Serviço</v>
      </c>
      <c r="E175" s="206" t="str">
        <f ca="1">OFFSET(ORÇAMENTO!O$15,ROW(E175)-ROW(E$15),0)</f>
        <v>1.8.6.</v>
      </c>
      <c r="F175" s="207" t="str">
        <f ca="1">OFFSET(ORÇAMENTO!R$15,ROW(F175)-ROW(F$15),0)</f>
        <v>(abra o arquivo 'Referência 05-2023.xls)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25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9</v>
      </c>
      <c r="N175" s="212" t="str">
        <f ca="1">IF($D175&lt;&gt;"Serviço","",IF(AUTOEVENTO="Manual",IF($A175=0,"&lt;-- defina o número do agrupador",OFFSET(EVENTOS!$D$14,$A175,0)),OFFSET($F$15,$A175,0)))</f>
        <v>SERVIÇOS HIDRAULICO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154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(abra o arquivo 'Referência 05-2023.xls)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9</v>
      </c>
      <c r="N176" s="212" t="str">
        <f ca="1">IF($D176&lt;&gt;"Serviço","",IF(AUTOEVENTO="Manual",IF($A176=0,"&lt;-- defina o número do agrupador",OFFSET(EVENTOS!$D$14,$A176,0)),OFFSET($F$15,$A176,0)))</f>
        <v>SERVIÇOS HIDRAULICO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162.</v>
      </c>
      <c r="B177" s="9">
        <f ca="1">OFFSET(ORÇAMENTO!C$15,ROW(B177)-ROW(B$15),0)</f>
        <v>2</v>
      </c>
      <c r="C177" s="9" t="str">
        <f ca="1">OFFSET(ORÇAMENTO!L$15,ROW(C177)-ROW(C$15),0)</f>
        <v>F</v>
      </c>
      <c r="D177" s="146" t="str">
        <f ca="1">OFFSET(ORÇAMENTO!N$15,ROW(D177)-ROW(D$15),0)</f>
        <v>Nível 2</v>
      </c>
      <c r="E177" s="206" t="str">
        <f ca="1">OFFSET(ORÇAMENTO!O$15,ROW(E177)-ROW(E$15),0)</f>
        <v>1.9.</v>
      </c>
      <c r="F177" s="207" t="str">
        <f ca="1">OFFSET(ORÇAMENTO!R$15,ROW(F177)-ROW(F$15),0)</f>
        <v>ESQUADRIAS/BANCADA</v>
      </c>
      <c r="G177" s="208" t="str">
        <f ca="1">IF($D177&lt;&gt;"Serviço","",OFFSET(ORÇAMENTO!S$15,ROW(G177)-ROW(G$15),0))</f>
        <v/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 t="str">
        <f ca="1">IF($D177&lt;&gt;"Serviço","",IF(AUTOEVENTO="manual",$A177,IF(ISERROR(MATCH($A177,$A$15:OFFSET($A177,-1,0),0)),MAX($M$15:OFFSET(M177,-1,0))+1,INDEX($M$15:OFFSET(M177,-1,0),MATCH($A177,$A$15:OFFSET($A177,-1,0),0)))))</f>
        <v/>
      </c>
      <c r="N177" s="212" t="str">
        <f ca="1">IF($D177&lt;&gt;"Serviço","",IF(AUTOEVENTO="Manual",IF($A177=0,"&lt;-- defina o número do agrupador",OFFSET(EVENTOS!$D$14,$A177,0)),OFFSET($F$15,$A177,0)))</f>
        <v/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0</v>
      </c>
      <c r="AN177" s="216">
        <f ca="1">IF($D177&lt;&gt;"Serviço",0,IF(AND(AUTOEVENTO="Manual",$M177=1),0,IF(OFFSET(CRONOPLE!$F$14,$M177,AN$13)="",10^12,OFFSET(CRONOPLE!$F$14,$M177,AN$13))))</f>
        <v>0</v>
      </c>
      <c r="AO177" s="216">
        <f ca="1">IF($D177&lt;&gt;"Serviço",0,IF(AND(AUTOEVENTO="Manual",$M177=1),0,IF(OFFSET(CRONOPLE!$F$14,$M177,AO$13)="",10^12,OFFSET(CRONOPLE!$F$14,$M177,AO$13))))</f>
        <v>0</v>
      </c>
      <c r="AP177" s="216">
        <f ca="1">IF($D177&lt;&gt;"Serviço",0,IF(AND(AUTOEVENTO="Manual",$M177=1),0,IF(OFFSET(CRONOPLE!$F$14,$M177,AP$13)="",10^12,OFFSET(CRONOPLE!$F$14,$M177,AP$13))))</f>
        <v>0</v>
      </c>
      <c r="AQ177" s="216">
        <f ca="1">IF($D177&lt;&gt;"Serviço",0,IF(AND(AUTOEVENTO="Manual",$M177=1),0,IF(OFFSET(CRONOPLE!$F$14,$M177,AQ$13)="",10^12,OFFSET(CRONOPLE!$F$14,$M177,AQ$13))))</f>
        <v>0</v>
      </c>
      <c r="AR177" s="216">
        <f ca="1">IF($D177&lt;&gt;"Serviço",0,IF(AND(AUTOEVENTO="Manual",$M177=1),0,IF(OFFSET(CRONOPLE!$F$14,$M177,AR$13)="",10^12,OFFSET(CRONOPLE!$F$14,$M177,AR$13))))</f>
        <v>0</v>
      </c>
      <c r="AS177" s="216">
        <f ca="1">IF($D177&lt;&gt;"Serviço",0,IF(AND(AUTOEVENTO="Manual",$M177=1),0,IF(OFFSET(CRONOPLE!$F$14,$M177,AS$13)="",10^12,OFFSET(CRONOPLE!$F$14,$M177,AS$13))))</f>
        <v>0</v>
      </c>
      <c r="AT177" s="216">
        <f ca="1">IF($D177&lt;&gt;"Serviço",0,IF(AND(AUTOEVENTO="Manual",$M177=1),0,IF(OFFSET(CRONOPLE!$F$14,$M177,AT$13)="",10^12,OFFSET(CRONOPLE!$F$14,$M177,AT$13))))</f>
        <v>0</v>
      </c>
      <c r="AU177" s="216">
        <f ca="1">IF($D177&lt;&gt;"Serviço",0,IF(AND(AUTOEVENTO="Manual",$M177=1),0,IF(OFFSET(CRONOPLE!$F$14,$M177,AU$13)="",10^12,OFFSET(CRONOPLE!$F$14,$M177,AU$13))))</f>
        <v>0</v>
      </c>
      <c r="AV177" s="216">
        <f ca="1">IF($D177&lt;&gt;"Serviço",0,IF(AND(AUTOEVENTO="Manual",$M177=1),0,IF(OFFSET(CRONOPLE!$F$14,$M177,AV$13)="",10^12,OFFSET(CRONOPLE!$F$14,$M177,AV$13))))</f>
        <v>0</v>
      </c>
      <c r="AX177" s="217">
        <f ca="1">IF($D177&lt;&gt;"Serviço",0,IF(OR(AND(AUTOEVENTO="Manual",$M177=1),$M177&gt;(ROW(PLE.lastrow)-ROW(PLE.firstrow))),0,IF(OFFSET(PLE!$G$14,$M177,AX$13)="",10^12,OFFSET(PLE!$G$14,$M177,AX$13))))</f>
        <v>0</v>
      </c>
      <c r="AY177" s="217">
        <f ca="1">IF($D177&lt;&gt;"Serviço",0,IF(OR(AND(AUTOEVENTO="Manual",$M177=1),$M177&gt;(ROW(PLE.lastrow)-ROW(PLE.firstrow))),0,IF(OFFSET(PLE!$G$14,$M177,AY$13)="",10^12,OFFSET(PLE!$G$14,$M177,AY$13))))</f>
        <v>0</v>
      </c>
      <c r="AZ177" s="217">
        <f ca="1">IF($D177&lt;&gt;"Serviço",0,IF(OR(AND(AUTOEVENTO="Manual",$M177=1),$M177&gt;(ROW(PLE.lastrow)-ROW(PLE.firstrow))),0,IF(OFFSET(PLE!$G$14,$M177,AZ$13)="",10^12,OFFSET(PLE!$G$14,$M177,AZ$13))))</f>
        <v>0</v>
      </c>
      <c r="BA177" s="217">
        <f ca="1">IF($D177&lt;&gt;"Serviço",0,IF(OR(AND(AUTOEVENTO="Manual",$M177=1),$M177&gt;(ROW(PLE.lastrow)-ROW(PLE.firstrow))),0,IF(OFFSET(PLE!$G$14,$M177,BA$13)="",10^12,OFFSET(PLE!$G$14,$M177,BA$13))))</f>
        <v>0</v>
      </c>
      <c r="BB177" s="217">
        <f ca="1">IF($D177&lt;&gt;"Serviço",0,IF(OR(AND(AUTOEVENTO="Manual",$M177=1),$M177&gt;(ROW(PLE.lastrow)-ROW(PLE.firstrow))),0,IF(OFFSET(PLE!$G$14,$M177,BB$13)="",10^12,OFFSET(PLE!$G$14,$M177,BB$13))))</f>
        <v>0</v>
      </c>
      <c r="BC177" s="217">
        <f ca="1">IF($D177&lt;&gt;"Serviço",0,IF(OR(AND(AUTOEVENTO="Manual",$M177=1),$M177&gt;(ROW(PLE.lastrow)-ROW(PLE.firstrow))),0,IF(OFFSET(PLE!$G$14,$M177,BC$13)="",10^12,OFFSET(PLE!$G$14,$M177,BC$13))))</f>
        <v>0</v>
      </c>
      <c r="BD177" s="217">
        <f ca="1">IF($D177&lt;&gt;"Serviço",0,IF(OR(AND(AUTOEVENTO="Manual",$M177=1),$M177&gt;(ROW(PLE.lastrow)-ROW(PLE.firstrow))),0,IF(OFFSET(PLE!$G$14,$M177,BD$13)="",10^12,OFFSET(PLE!$G$14,$M177,BD$13))))</f>
        <v>0</v>
      </c>
      <c r="BE177" s="217">
        <f ca="1">IF($D177&lt;&gt;"Serviço",0,IF(OR(AND(AUTOEVENTO="Manual",$M177=1),$M177&gt;(ROW(PLE.lastrow)-ROW(PLE.firstrow))),0,IF(OFFSET(PLE!$G$14,$M177,BE$13)="",10^12,OFFSET(PLE!$G$14,$M177,BE$13))))</f>
        <v>0</v>
      </c>
      <c r="BF177" s="217">
        <f ca="1">IF($D177&lt;&gt;"Serviço",0,IF(OR(AND(AUTOEVENTO="Manual",$M177=1),$M177&gt;(ROW(PLE.lastrow)-ROW(PLE.firstrow))),0,IF(OFFSET(PLE!$G$14,$M177,BF$13)="",10^12,OFFSET(PLE!$G$14,$M177,BF$13))))</f>
        <v>0</v>
      </c>
      <c r="BG177" s="217">
        <f ca="1">IF($D177&lt;&gt;"Serviço",0,IF(OR(AND(AUTOEVENTO="Manual",$M177=1),$M177&gt;(ROW(PLE.lastrow)-ROW(PLE.firstrow))),0,IF(OFFSET(PLE!$G$14,$M177,BG$13)="",10^12,OFFSET(PLE!$G$14,$M177,BG$13))))</f>
        <v>0</v>
      </c>
    </row>
    <row r="178" spans="1:59" ht="51" x14ac:dyDescent="0.2">
      <c r="A178" s="9" t="str">
        <f t="shared" ca="1" si="10"/>
        <v>162</v>
      </c>
      <c r="B178" s="9" t="str">
        <f ca="1">OFFSET(ORÇAMENTO!C$15,ROW(B178)-ROW(B$15),0)</f>
        <v>S</v>
      </c>
      <c r="C178" s="9" t="str">
        <f ca="1">OFFSET(ORÇAMENTO!L$15,ROW(C178)-ROW(C$15),0)</f>
        <v>F</v>
      </c>
      <c r="D178" s="146" t="str">
        <f ca="1">OFFSET(ORÇAMENTO!N$15,ROW(D178)-ROW(D$15),0)</f>
        <v>Serviço</v>
      </c>
      <c r="E178" s="206" t="str">
        <f ca="1">OFFSET(ORÇAMENTO!O$15,ROW(E178)-ROW(E$15),0)</f>
        <v>1.9.1.</v>
      </c>
      <c r="F178" s="207" t="str">
        <f ca="1">OFFSET(ORÇAMENTO!R$15,ROW(F178)-ROW(F$15),0)</f>
        <v>(abra o arquivo 'Referência 05-2023.xls)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32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10</v>
      </c>
      <c r="N178" s="212" t="str">
        <f ca="1">IF($D178&lt;&gt;"Serviço","",IF(AUTOEVENTO="Manual",IF($A178=0,"&lt;-- defina o número do agrupador",OFFSET(EVENTOS!$D$14,$A178,0)),OFFSET($F$15,$A178,0)))</f>
        <v>ESQUADRIAS/BANCADA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38.25" x14ac:dyDescent="0.2">
      <c r="A179" s="9" t="str">
        <f t="shared" ca="1" si="10"/>
        <v>162</v>
      </c>
      <c r="B179" s="9" t="str">
        <f ca="1">OFFSET(ORÇAMENTO!C$15,ROW(B179)-ROW(B$15),0)</f>
        <v>S</v>
      </c>
      <c r="C179" s="9" t="str">
        <f ca="1">OFFSET(ORÇAMENTO!L$15,ROW(C179)-ROW(C$15),0)</f>
        <v>F</v>
      </c>
      <c r="D179" s="146" t="str">
        <f ca="1">OFFSET(ORÇAMENTO!N$15,ROW(D179)-ROW(D$15),0)</f>
        <v>Serviço</v>
      </c>
      <c r="E179" s="206" t="str">
        <f ca="1">OFFSET(ORÇAMENTO!O$15,ROW(E179)-ROW(E$15),0)</f>
        <v>1.9.2.</v>
      </c>
      <c r="F179" s="207" t="str">
        <f ca="1">OFFSET(ORÇAMENTO!R$15,ROW(F179)-ROW(F$15),0)</f>
        <v>(abra o arquivo 'Referência 05-2023.xls)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12.2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10</v>
      </c>
      <c r="N179" s="212" t="str">
        <f ca="1">IF($D179&lt;&gt;"Serviço","",IF(AUTOEVENTO="Manual",IF($A179=0,"&lt;-- defina o número do agrupador",OFFSET(EVENTOS!$D$14,$A179,0)),OFFSET($F$15,$A179,0)))</f>
        <v>ESQUADRIAS/BANCADA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38.25" x14ac:dyDescent="0.2">
      <c r="A180" s="9" t="str">
        <f t="shared" ca="1" si="10"/>
        <v>162</v>
      </c>
      <c r="B180" s="9" t="str">
        <f ca="1">OFFSET(ORÇAMENTO!C$15,ROW(B180)-ROW(B$15),0)</f>
        <v>S</v>
      </c>
      <c r="C180" s="9" t="str">
        <f ca="1">OFFSET(ORÇAMENTO!L$15,ROW(C180)-ROW(C$15),0)</f>
        <v>F</v>
      </c>
      <c r="D180" s="146" t="str">
        <f ca="1">OFFSET(ORÇAMENTO!N$15,ROW(D180)-ROW(D$15),0)</f>
        <v>Serviço</v>
      </c>
      <c r="E180" s="206" t="str">
        <f ca="1">OFFSET(ORÇAMENTO!O$15,ROW(E180)-ROW(E$15),0)</f>
        <v>1.9.3.</v>
      </c>
      <c r="F180" s="207" t="str">
        <f ca="1">OFFSET(ORÇAMENTO!R$15,ROW(F180)-ROW(F$15),0)</f>
        <v>(abra o arquivo 'Referência 05-2023.xls)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2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10</v>
      </c>
      <c r="N180" s="212" t="str">
        <f ca="1">IF($D180&lt;&gt;"Serviço","",IF(AUTOEVENTO="Manual",IF($A180=0,"&lt;-- defina o número do agrupador",OFFSET(EVENTOS!$D$14,$A180,0)),OFFSET($F$15,$A180,0)))</f>
        <v>ESQUADRIAS/BANCADA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25.5" x14ac:dyDescent="0.2">
      <c r="A181" s="9" t="str">
        <f t="shared" ca="1" si="10"/>
        <v>162</v>
      </c>
      <c r="B181" s="9" t="str">
        <f ca="1">OFFSET(ORÇAMENTO!C$15,ROW(B181)-ROW(B$15),0)</f>
        <v>S</v>
      </c>
      <c r="C181" s="9" t="str">
        <f ca="1">OFFSET(ORÇAMENTO!L$15,ROW(C181)-ROW(C$15),0)</f>
        <v>F</v>
      </c>
      <c r="D181" s="146" t="str">
        <f ca="1">OFFSET(ORÇAMENTO!N$15,ROW(D181)-ROW(D$15),0)</f>
        <v>Serviço</v>
      </c>
      <c r="E181" s="206" t="str">
        <f ca="1">OFFSET(ORÇAMENTO!O$15,ROW(E181)-ROW(E$15),0)</f>
        <v>1.9.4.</v>
      </c>
      <c r="F181" s="207" t="str">
        <f ca="1">OFFSET(ORÇAMENTO!R$15,ROW(F181)-ROW(F$15),0)</f>
        <v>(abra o arquivo 'Referência 05-2023.xls)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12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10</v>
      </c>
      <c r="N181" s="212" t="str">
        <f ca="1">IF($D181&lt;&gt;"Serviço","",IF(AUTOEVENTO="Manual",IF($A181=0,"&lt;-- defina o número do agrupador",OFFSET(EVENTOS!$D$14,$A181,0)),OFFSET($F$15,$A181,0)))</f>
        <v>ESQUADRIAS/BANCADA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25.5" x14ac:dyDescent="0.2">
      <c r="A182" s="9" t="str">
        <f t="shared" ca="1" si="10"/>
        <v>162</v>
      </c>
      <c r="B182" s="9" t="str">
        <f ca="1">OFFSET(ORÇAMENTO!C$15,ROW(B182)-ROW(B$15),0)</f>
        <v>S</v>
      </c>
      <c r="C182" s="9" t="str">
        <f ca="1">OFFSET(ORÇAMENTO!L$15,ROW(C182)-ROW(C$15),0)</f>
        <v>F</v>
      </c>
      <c r="D182" s="146" t="str">
        <f ca="1">OFFSET(ORÇAMENTO!N$15,ROW(D182)-ROW(D$15),0)</f>
        <v>Serviço</v>
      </c>
      <c r="E182" s="206" t="str">
        <f ca="1">OFFSET(ORÇAMENTO!O$15,ROW(E182)-ROW(E$15),0)</f>
        <v>1.9.5.</v>
      </c>
      <c r="F182" s="207" t="str">
        <f ca="1">OFFSET(ORÇAMENTO!R$15,ROW(F182)-ROW(F$15),0)</f>
        <v>(abra o arquivo 'Referência 05-2023.xls)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1.68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10</v>
      </c>
      <c r="N182" s="212" t="str">
        <f ca="1">IF($D182&lt;&gt;"Serviço","",IF(AUTOEVENTO="Manual",IF($A182=0,"&lt;-- defina o número do agrupador",OFFSET(EVENTOS!$D$14,$A182,0)),OFFSET($F$15,$A182,0)))</f>
        <v>ESQUADRIAS/BANCADA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162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(abra o arquivo 'Referência 05-2023.xls)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10</v>
      </c>
      <c r="N183" s="212" t="str">
        <f ca="1">IF($D183&lt;&gt;"Serviço","",IF(AUTOEVENTO="Manual",IF($A183=0,"&lt;-- defina o número do agrupador",OFFSET(EVENTOS!$D$14,$A183,0)),OFFSET($F$15,$A183,0)))</f>
        <v>ESQUADRIAS/BANCADA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162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(abra o arquivo 'Referência 05-2023.xls)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10</v>
      </c>
      <c r="N184" s="212" t="str">
        <f ca="1">IF($D184&lt;&gt;"Serviço","",IF(AUTOEVENTO="Manual",IF($A184=0,"&lt;-- defina o número do agrupador",OFFSET(EVENTOS!$D$14,$A184,0)),OFFSET($F$15,$A184,0)))</f>
        <v>ESQUADRIAS/BANCADA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162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(abra o arquivo 'Referência 05-2023.xls)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10</v>
      </c>
      <c r="N185" s="212" t="str">
        <f ca="1">IF($D185&lt;&gt;"Serviço","",IF(AUTOEVENTO="Manual",IF($A185=0,"&lt;-- defina o número do agrupador",OFFSET(EVENTOS!$D$14,$A185,0)),OFFSET($F$15,$A185,0)))</f>
        <v>ESQUADRIAS/BANCADA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162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(abra o arquivo 'Referência 05-2023.xls)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10</v>
      </c>
      <c r="N186" s="212" t="str">
        <f ca="1">IF($D186&lt;&gt;"Serviço","",IF(AUTOEVENTO="Manual",IF($A186=0,"&lt;-- defina o número do agrupador",OFFSET(EVENTOS!$D$14,$A186,0)),OFFSET($F$15,$A186,0)))</f>
        <v>ESQUADRIAS/BANCADA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162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(abra o arquivo 'Referência 05-2023.xls)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10</v>
      </c>
      <c r="N187" s="212" t="str">
        <f ca="1">IF($D187&lt;&gt;"Serviço","",IF(AUTOEVENTO="Manual",IF($A187=0,"&lt;-- defina o número do agrupador",OFFSET(EVENTOS!$D$14,$A187,0)),OFFSET($F$15,$A187,0)))</f>
        <v>ESQUADRIAS/BANCADA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162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(abra o arquivo 'Referência 05-2023.xls)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10</v>
      </c>
      <c r="N188" s="212" t="str">
        <f ca="1">IF($D188&lt;&gt;"Serviço","",IF(AUTOEVENTO="Manual",IF($A188=0,"&lt;-- defina o número do agrupador",OFFSET(EVENTOS!$D$14,$A188,0)),OFFSET($F$15,$A188,0)))</f>
        <v>ESQUADRIAS/BANCADA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162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(abra o arquivo 'Referência 05-2023.xls)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10</v>
      </c>
      <c r="N189" s="212" t="str">
        <f ca="1">IF($D189&lt;&gt;"Serviço","",IF(AUTOEVENTO="Manual",IF($A189=0,"&lt;-- defina o número do agrupador",OFFSET(EVENTOS!$D$14,$A189,0)),OFFSET($F$15,$A189,0)))</f>
        <v>ESQUADRIAS/BANCADA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162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(abra o arquivo 'Referência 05-2023.xls)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10</v>
      </c>
      <c r="N190" s="212" t="str">
        <f ca="1">IF($D190&lt;&gt;"Serviço","",IF(AUTOEVENTO="Manual",IF($A190=0,"&lt;-- defina o número do agrupador",OFFSET(EVENTOS!$D$14,$A190,0)),OFFSET($F$15,$A190,0)))</f>
        <v>ESQUADRIAS/BANCADA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162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(abra o arquivo 'Referência 05-2023.xls)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10</v>
      </c>
      <c r="N191" s="212" t="str">
        <f ca="1">IF($D191&lt;&gt;"Serviço","",IF(AUTOEVENTO="Manual",IF($A191=0,"&lt;-- defina o número do agrupador",OFFSET(EVENTOS!$D$14,$A191,0)),OFFSET($F$15,$A191,0)))</f>
        <v>ESQUADRIAS/BANCADA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162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(abra o arquivo 'Referência 05-2023.xls)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10</v>
      </c>
      <c r="N192" s="212" t="str">
        <f ca="1">IF($D192&lt;&gt;"Serviço","",IF(AUTOEVENTO="Manual",IF($A192=0,"&lt;-- defina o número do agrupador",OFFSET(EVENTOS!$D$14,$A192,0)),OFFSET($F$15,$A192,0)))</f>
        <v>ESQUADRIAS/BANCADA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162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(abra o arquivo 'Referência 05-2023.xls)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10</v>
      </c>
      <c r="N193" s="212" t="str">
        <f ca="1">IF($D193&lt;&gt;"Serviço","",IF(AUTOEVENTO="Manual",IF($A193=0,"&lt;-- defina o número do agrupador",OFFSET(EVENTOS!$D$14,$A193,0)),OFFSET($F$15,$A193,0)))</f>
        <v>ESQUADRIAS/BANCADA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179.</v>
      </c>
      <c r="B194" s="9">
        <f ca="1">OFFSET(ORÇAMENTO!C$15,ROW(B194)-ROW(B$15),0)</f>
        <v>2</v>
      </c>
      <c r="C194" s="9" t="str">
        <f ca="1">OFFSET(ORÇAMENTO!L$15,ROW(C194)-ROW(C$15),0)</f>
        <v>F</v>
      </c>
      <c r="D194" s="146" t="str">
        <f ca="1">OFFSET(ORÇAMENTO!N$15,ROW(D194)-ROW(D$15),0)</f>
        <v>Nível 2</v>
      </c>
      <c r="E194" s="206" t="str">
        <f ca="1">OFFSET(ORÇAMENTO!O$15,ROW(E194)-ROW(E$15),0)</f>
        <v>1.10.</v>
      </c>
      <c r="F194" s="207" t="str">
        <f ca="1">OFFSET(ORÇAMENTO!R$15,ROW(F194)-ROW(F$15),0)</f>
        <v>INSTALAÇÕES SANITÁRIAS</v>
      </c>
      <c r="G194" s="208" t="str">
        <f ca="1">IF($D194&lt;&gt;"Serviço","",OFFSET(ORÇAMENTO!S$15,ROW(G194)-ROW(G$15),0))</f>
        <v/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 t="str">
        <f ca="1">IF($D194&lt;&gt;"Serviço","",IF(AUTOEVENTO="manual",$A194,IF(ISERROR(MATCH($A194,$A$15:OFFSET($A194,-1,0),0)),MAX($M$15:OFFSET(M194,-1,0))+1,INDEX($M$15:OFFSET(M194,-1,0),MATCH($A194,$A$15:OFFSET($A194,-1,0),0)))))</f>
        <v/>
      </c>
      <c r="N194" s="212" t="str">
        <f ca="1">IF($D194&lt;&gt;"Serviço","",IF(AUTOEVENTO="Manual",IF($A194=0,"&lt;-- defina o número do agrupador",OFFSET(EVENTOS!$D$14,$A194,0)),OFFSET($F$15,$A194,0)))</f>
        <v/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0</v>
      </c>
      <c r="AN194" s="216">
        <f ca="1">IF($D194&lt;&gt;"Serviço",0,IF(AND(AUTOEVENTO="Manual",$M194=1),0,IF(OFFSET(CRONOPLE!$F$14,$M194,AN$13)="",10^12,OFFSET(CRONOPLE!$F$14,$M194,AN$13))))</f>
        <v>0</v>
      </c>
      <c r="AO194" s="216">
        <f ca="1">IF($D194&lt;&gt;"Serviço",0,IF(AND(AUTOEVENTO="Manual",$M194=1),0,IF(OFFSET(CRONOPLE!$F$14,$M194,AO$13)="",10^12,OFFSET(CRONOPLE!$F$14,$M194,AO$13))))</f>
        <v>0</v>
      </c>
      <c r="AP194" s="216">
        <f ca="1">IF($D194&lt;&gt;"Serviço",0,IF(AND(AUTOEVENTO="Manual",$M194=1),0,IF(OFFSET(CRONOPLE!$F$14,$M194,AP$13)="",10^12,OFFSET(CRONOPLE!$F$14,$M194,AP$13))))</f>
        <v>0</v>
      </c>
      <c r="AQ194" s="216">
        <f ca="1">IF($D194&lt;&gt;"Serviço",0,IF(AND(AUTOEVENTO="Manual",$M194=1),0,IF(OFFSET(CRONOPLE!$F$14,$M194,AQ$13)="",10^12,OFFSET(CRONOPLE!$F$14,$M194,AQ$13))))</f>
        <v>0</v>
      </c>
      <c r="AR194" s="216">
        <f ca="1">IF($D194&lt;&gt;"Serviço",0,IF(AND(AUTOEVENTO="Manual",$M194=1),0,IF(OFFSET(CRONOPLE!$F$14,$M194,AR$13)="",10^12,OFFSET(CRONOPLE!$F$14,$M194,AR$13))))</f>
        <v>0</v>
      </c>
      <c r="AS194" s="216">
        <f ca="1">IF($D194&lt;&gt;"Serviço",0,IF(AND(AUTOEVENTO="Manual",$M194=1),0,IF(OFFSET(CRONOPLE!$F$14,$M194,AS$13)="",10^12,OFFSET(CRONOPLE!$F$14,$M194,AS$13))))</f>
        <v>0</v>
      </c>
      <c r="AT194" s="216">
        <f ca="1">IF($D194&lt;&gt;"Serviço",0,IF(AND(AUTOEVENTO="Manual",$M194=1),0,IF(OFFSET(CRONOPLE!$F$14,$M194,AT$13)="",10^12,OFFSET(CRONOPLE!$F$14,$M194,AT$13))))</f>
        <v>0</v>
      </c>
      <c r="AU194" s="216">
        <f ca="1">IF($D194&lt;&gt;"Serviço",0,IF(AND(AUTOEVENTO="Manual",$M194=1),0,IF(OFFSET(CRONOPLE!$F$14,$M194,AU$13)="",10^12,OFFSET(CRONOPLE!$F$14,$M194,AU$13))))</f>
        <v>0</v>
      </c>
      <c r="AV194" s="216">
        <f ca="1">IF($D194&lt;&gt;"Serviço",0,IF(AND(AUTOEVENTO="Manual",$M194=1),0,IF(OFFSET(CRONOPLE!$F$14,$M194,AV$13)="",10^12,OFFSET(CRONOPLE!$F$14,$M194,AV$13))))</f>
        <v>0</v>
      </c>
      <c r="AX194" s="217">
        <f ca="1">IF($D194&lt;&gt;"Serviço",0,IF(OR(AND(AUTOEVENTO="Manual",$M194=1),$M194&gt;(ROW(PLE.lastrow)-ROW(PLE.firstrow))),0,IF(OFFSET(PLE!$G$14,$M194,AX$13)="",10^12,OFFSET(PLE!$G$14,$M194,AX$13))))</f>
        <v>0</v>
      </c>
      <c r="AY194" s="217">
        <f ca="1">IF($D194&lt;&gt;"Serviço",0,IF(OR(AND(AUTOEVENTO="Manual",$M194=1),$M194&gt;(ROW(PLE.lastrow)-ROW(PLE.firstrow))),0,IF(OFFSET(PLE!$G$14,$M194,AY$13)="",10^12,OFFSET(PLE!$G$14,$M194,AY$13))))</f>
        <v>0</v>
      </c>
      <c r="AZ194" s="217">
        <f ca="1">IF($D194&lt;&gt;"Serviço",0,IF(OR(AND(AUTOEVENTO="Manual",$M194=1),$M194&gt;(ROW(PLE.lastrow)-ROW(PLE.firstrow))),0,IF(OFFSET(PLE!$G$14,$M194,AZ$13)="",10^12,OFFSET(PLE!$G$14,$M194,AZ$13))))</f>
        <v>0</v>
      </c>
      <c r="BA194" s="217">
        <f ca="1">IF($D194&lt;&gt;"Serviço",0,IF(OR(AND(AUTOEVENTO="Manual",$M194=1),$M194&gt;(ROW(PLE.lastrow)-ROW(PLE.firstrow))),0,IF(OFFSET(PLE!$G$14,$M194,BA$13)="",10^12,OFFSET(PLE!$G$14,$M194,BA$13))))</f>
        <v>0</v>
      </c>
      <c r="BB194" s="217">
        <f ca="1">IF($D194&lt;&gt;"Serviço",0,IF(OR(AND(AUTOEVENTO="Manual",$M194=1),$M194&gt;(ROW(PLE.lastrow)-ROW(PLE.firstrow))),0,IF(OFFSET(PLE!$G$14,$M194,BB$13)="",10^12,OFFSET(PLE!$G$14,$M194,BB$13))))</f>
        <v>0</v>
      </c>
      <c r="BC194" s="217">
        <f ca="1">IF($D194&lt;&gt;"Serviço",0,IF(OR(AND(AUTOEVENTO="Manual",$M194=1),$M194&gt;(ROW(PLE.lastrow)-ROW(PLE.firstrow))),0,IF(OFFSET(PLE!$G$14,$M194,BC$13)="",10^12,OFFSET(PLE!$G$14,$M194,BC$13))))</f>
        <v>0</v>
      </c>
      <c r="BD194" s="217">
        <f ca="1">IF($D194&lt;&gt;"Serviço",0,IF(OR(AND(AUTOEVENTO="Manual",$M194=1),$M194&gt;(ROW(PLE.lastrow)-ROW(PLE.firstrow))),0,IF(OFFSET(PLE!$G$14,$M194,BD$13)="",10^12,OFFSET(PLE!$G$14,$M194,BD$13))))</f>
        <v>0</v>
      </c>
      <c r="BE194" s="217">
        <f ca="1">IF($D194&lt;&gt;"Serviço",0,IF(OR(AND(AUTOEVENTO="Manual",$M194=1),$M194&gt;(ROW(PLE.lastrow)-ROW(PLE.firstrow))),0,IF(OFFSET(PLE!$G$14,$M194,BE$13)="",10^12,OFFSET(PLE!$G$14,$M194,BE$13))))</f>
        <v>0</v>
      </c>
      <c r="BF194" s="217">
        <f ca="1">IF($D194&lt;&gt;"Serviço",0,IF(OR(AND(AUTOEVENTO="Manual",$M194=1),$M194&gt;(ROW(PLE.lastrow)-ROW(PLE.firstrow))),0,IF(OFFSET(PLE!$G$14,$M194,BF$13)="",10^12,OFFSET(PLE!$G$14,$M194,BF$13))))</f>
        <v>0</v>
      </c>
      <c r="BG194" s="217">
        <f ca="1">IF($D194&lt;&gt;"Serviço",0,IF(OR(AND(AUTOEVENTO="Manual",$M194=1),$M194&gt;(ROW(PLE.lastrow)-ROW(PLE.firstrow))),0,IF(OFFSET(PLE!$G$14,$M194,BG$13)="",10^12,OFFSET(PLE!$G$14,$M194,BG$13))))</f>
        <v>0</v>
      </c>
    </row>
    <row r="195" spans="1:59" ht="38.25" x14ac:dyDescent="0.2">
      <c r="A195" s="9" t="str">
        <f t="shared" ca="1" si="10"/>
        <v>179</v>
      </c>
      <c r="B195" s="9" t="str">
        <f ca="1">OFFSET(ORÇAMENTO!C$15,ROW(B195)-ROW(B$15),0)</f>
        <v>S</v>
      </c>
      <c r="C195" s="9" t="str">
        <f ca="1">OFFSET(ORÇAMENTO!L$15,ROW(C195)-ROW(C$15),0)</f>
        <v>F</v>
      </c>
      <c r="D195" s="146" t="str">
        <f ca="1">OFFSET(ORÇAMENTO!N$15,ROW(D195)-ROW(D$15),0)</f>
        <v>Serviço</v>
      </c>
      <c r="E195" s="206" t="str">
        <f ca="1">OFFSET(ORÇAMENTO!O$15,ROW(E195)-ROW(E$15),0)</f>
        <v>1.10.1.</v>
      </c>
      <c r="F195" s="207" t="str">
        <f ca="1">OFFSET(ORÇAMENTO!R$15,ROW(F195)-ROW(F$15),0)</f>
        <v>(abra o arquivo 'Referência 05-2023.xls)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1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11</v>
      </c>
      <c r="N195" s="212" t="str">
        <f ca="1">IF($D195&lt;&gt;"Serviço","",IF(AUTOEVENTO="Manual",IF($A195=0,"&lt;-- defina o número do agrupador",OFFSET(EVENTOS!$D$14,$A195,0)),OFFSET($F$15,$A195,0)))</f>
        <v>INSTALAÇÕES SANITÁRIAS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38.25" x14ac:dyDescent="0.2">
      <c r="A196" s="9" t="str">
        <f t="shared" ca="1" si="10"/>
        <v>179</v>
      </c>
      <c r="B196" s="9" t="str">
        <f ca="1">OFFSET(ORÇAMENTO!C$15,ROW(B196)-ROW(B$15),0)</f>
        <v>S</v>
      </c>
      <c r="C196" s="9" t="str">
        <f ca="1">OFFSET(ORÇAMENTO!L$15,ROW(C196)-ROW(C$15),0)</f>
        <v>F</v>
      </c>
      <c r="D196" s="146" t="str">
        <f ca="1">OFFSET(ORÇAMENTO!N$15,ROW(D196)-ROW(D$15),0)</f>
        <v>Serviço</v>
      </c>
      <c r="E196" s="206" t="str">
        <f ca="1">OFFSET(ORÇAMENTO!O$15,ROW(E196)-ROW(E$15),0)</f>
        <v>1.10.2.</v>
      </c>
      <c r="F196" s="207" t="str">
        <f ca="1">OFFSET(ORÇAMENTO!R$15,ROW(F196)-ROW(F$15),0)</f>
        <v>(abra o arquivo 'Referência 05-2023.xls)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1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11</v>
      </c>
      <c r="N196" s="212" t="str">
        <f ca="1">IF($D196&lt;&gt;"Serviço","",IF(AUTOEVENTO="Manual",IF($A196=0,"&lt;-- defina o número do agrupador",OFFSET(EVENTOS!$D$14,$A196,0)),OFFSET($F$15,$A196,0)))</f>
        <v>INSTALAÇÕES SANITÁRIAS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38.25" x14ac:dyDescent="0.2">
      <c r="A197" s="9" t="str">
        <f t="shared" ca="1" si="10"/>
        <v>179</v>
      </c>
      <c r="B197" s="9" t="str">
        <f ca="1">OFFSET(ORÇAMENTO!C$15,ROW(B197)-ROW(B$15),0)</f>
        <v>S</v>
      </c>
      <c r="C197" s="9" t="str">
        <f ca="1">OFFSET(ORÇAMENTO!L$15,ROW(C197)-ROW(C$15),0)</f>
        <v>F</v>
      </c>
      <c r="D197" s="146" t="str">
        <f ca="1">OFFSET(ORÇAMENTO!N$15,ROW(D197)-ROW(D$15),0)</f>
        <v>Serviço</v>
      </c>
      <c r="E197" s="206" t="str">
        <f ca="1">OFFSET(ORÇAMENTO!O$15,ROW(E197)-ROW(E$15),0)</f>
        <v>1.10.3.</v>
      </c>
      <c r="F197" s="207" t="str">
        <f ca="1">OFFSET(ORÇAMENTO!R$15,ROW(F197)-ROW(F$15),0)</f>
        <v>(abra o arquivo 'Referência 05-2023.xls)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1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11</v>
      </c>
      <c r="N197" s="212" t="str">
        <f ca="1">IF($D197&lt;&gt;"Serviço","",IF(AUTOEVENTO="Manual",IF($A197=0,"&lt;-- defina o número do agrupador",OFFSET(EVENTOS!$D$14,$A197,0)),OFFSET($F$15,$A197,0)))</f>
        <v>INSTALAÇÕES SANITÁRIAS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63.75" x14ac:dyDescent="0.2">
      <c r="A198" s="9" t="str">
        <f t="shared" ca="1" si="10"/>
        <v>179</v>
      </c>
      <c r="B198" s="9" t="str">
        <f ca="1">OFFSET(ORÇAMENTO!C$15,ROW(B198)-ROW(B$15),0)</f>
        <v>S</v>
      </c>
      <c r="C198" s="9" t="str">
        <f ca="1">OFFSET(ORÇAMENTO!L$15,ROW(C198)-ROW(C$15),0)</f>
        <v>F</v>
      </c>
      <c r="D198" s="146" t="str">
        <f ca="1">OFFSET(ORÇAMENTO!N$15,ROW(D198)-ROW(D$15),0)</f>
        <v>Serviço</v>
      </c>
      <c r="E198" s="206" t="str">
        <f ca="1">OFFSET(ORÇAMENTO!O$15,ROW(E198)-ROW(E$15),0)</f>
        <v>1.10.4.</v>
      </c>
      <c r="F198" s="207" t="str">
        <f ca="1">OFFSET(ORÇAMENTO!R$15,ROW(F198)-ROW(F$15),0)</f>
        <v>(abra o arquivo 'Referência 05-2023.xls)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20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11</v>
      </c>
      <c r="N198" s="212" t="str">
        <f ca="1">IF($D198&lt;&gt;"Serviço","",IF(AUTOEVENTO="Manual",IF($A198=0,"&lt;-- defina o número do agrupador",OFFSET(EVENTOS!$D$14,$A198,0)),OFFSET($F$15,$A198,0)))</f>
        <v>INSTALAÇÕES SANITÁRIAS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63.75" x14ac:dyDescent="0.2">
      <c r="A199" s="9" t="str">
        <f t="shared" ca="1" si="10"/>
        <v>179</v>
      </c>
      <c r="B199" s="9" t="str">
        <f ca="1">OFFSET(ORÇAMENTO!C$15,ROW(B199)-ROW(B$15),0)</f>
        <v>S</v>
      </c>
      <c r="C199" s="9" t="str">
        <f ca="1">OFFSET(ORÇAMENTO!L$15,ROW(C199)-ROW(C$15),0)</f>
        <v>F</v>
      </c>
      <c r="D199" s="146" t="str">
        <f ca="1">OFFSET(ORÇAMENTO!N$15,ROW(D199)-ROW(D$15),0)</f>
        <v>Serviço</v>
      </c>
      <c r="E199" s="206" t="str">
        <f ca="1">OFFSET(ORÇAMENTO!O$15,ROW(E199)-ROW(E$15),0)</f>
        <v>1.10.5.</v>
      </c>
      <c r="F199" s="207" t="str">
        <f ca="1">OFFSET(ORÇAMENTO!R$15,ROW(F199)-ROW(F$15),0)</f>
        <v>(abra o arquivo 'Referência 05-2023.xls)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35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11</v>
      </c>
      <c r="N199" s="212" t="str">
        <f ca="1">IF($D199&lt;&gt;"Serviço","",IF(AUTOEVENTO="Manual",IF($A199=0,"&lt;-- defina o número do agrupador",OFFSET(EVENTOS!$D$14,$A199,0)),OFFSET($F$15,$A199,0)))</f>
        <v>INSTALAÇÕES SANITÁRIAS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38.25" x14ac:dyDescent="0.2">
      <c r="A200" s="9" t="str">
        <f t="shared" ca="1" si="10"/>
        <v>179</v>
      </c>
      <c r="B200" s="9" t="str">
        <f ca="1">OFFSET(ORÇAMENTO!C$15,ROW(B200)-ROW(B$15),0)</f>
        <v>S</v>
      </c>
      <c r="C200" s="9" t="str">
        <f ca="1">OFFSET(ORÇAMENTO!L$15,ROW(C200)-ROW(C$15),0)</f>
        <v>F</v>
      </c>
      <c r="D200" s="146" t="str">
        <f ca="1">OFFSET(ORÇAMENTO!N$15,ROW(D200)-ROW(D$15),0)</f>
        <v>Serviço</v>
      </c>
      <c r="E200" s="206" t="str">
        <f ca="1">OFFSET(ORÇAMENTO!O$15,ROW(E200)-ROW(E$15),0)</f>
        <v>1.10.6.</v>
      </c>
      <c r="F200" s="207" t="str">
        <f ca="1">OFFSET(ORÇAMENTO!R$15,ROW(F200)-ROW(F$15),0)</f>
        <v>(abra o arquivo 'Referência 05-2023.xls)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2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11</v>
      </c>
      <c r="N200" s="212" t="str">
        <f ca="1">IF($D200&lt;&gt;"Serviço","",IF(AUTOEVENTO="Manual",IF($A200=0,"&lt;-- defina o número do agrupador",OFFSET(EVENTOS!$D$14,$A200,0)),OFFSET($F$15,$A200,0)))</f>
        <v>INSTALAÇÕES SANITÁRIAS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38.25" x14ac:dyDescent="0.2">
      <c r="A201" s="9" t="str">
        <f t="shared" ca="1" si="10"/>
        <v>179</v>
      </c>
      <c r="B201" s="9" t="str">
        <f ca="1">OFFSET(ORÇAMENTO!C$15,ROW(B201)-ROW(B$15),0)</f>
        <v>S</v>
      </c>
      <c r="C201" s="9" t="str">
        <f ca="1">OFFSET(ORÇAMENTO!L$15,ROW(C201)-ROW(C$15),0)</f>
        <v>F</v>
      </c>
      <c r="D201" s="146" t="str">
        <f ca="1">OFFSET(ORÇAMENTO!N$15,ROW(D201)-ROW(D$15),0)</f>
        <v>Serviço</v>
      </c>
      <c r="E201" s="206" t="str">
        <f ca="1">OFFSET(ORÇAMENTO!O$15,ROW(E201)-ROW(E$15),0)</f>
        <v>1.10.7.</v>
      </c>
      <c r="F201" s="207" t="str">
        <f ca="1">OFFSET(ORÇAMENTO!R$15,ROW(F201)-ROW(F$15),0)</f>
        <v>(abra o arquivo 'Referência 05-2023.xls)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1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11</v>
      </c>
      <c r="N201" s="212" t="str">
        <f ca="1">IF($D201&lt;&gt;"Serviço","",IF(AUTOEVENTO="Manual",IF($A201=0,"&lt;-- defina o número do agrupador",OFFSET(EVENTOS!$D$14,$A201,0)),OFFSET($F$15,$A201,0)))</f>
        <v>INSTALAÇÕES SANITÁRIAS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38.25" x14ac:dyDescent="0.2">
      <c r="A202" s="9" t="str">
        <f t="shared" ca="1" si="10"/>
        <v>179</v>
      </c>
      <c r="B202" s="9" t="str">
        <f ca="1">OFFSET(ORÇAMENTO!C$15,ROW(B202)-ROW(B$15),0)</f>
        <v>S</v>
      </c>
      <c r="C202" s="9" t="str">
        <f ca="1">OFFSET(ORÇAMENTO!L$15,ROW(C202)-ROW(C$15),0)</f>
        <v>F</v>
      </c>
      <c r="D202" s="146" t="str">
        <f ca="1">OFFSET(ORÇAMENTO!N$15,ROW(D202)-ROW(D$15),0)</f>
        <v>Serviço</v>
      </c>
      <c r="E202" s="206" t="str">
        <f ca="1">OFFSET(ORÇAMENTO!O$15,ROW(E202)-ROW(E$15),0)</f>
        <v>1.10.8.</v>
      </c>
      <c r="F202" s="207" t="str">
        <f ca="1">OFFSET(ORÇAMENTO!R$15,ROW(F202)-ROW(F$15),0)</f>
        <v>(abra o arquivo 'Referência 05-2023.xls)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3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11</v>
      </c>
      <c r="N202" s="212" t="str">
        <f ca="1">IF($D202&lt;&gt;"Serviço","",IF(AUTOEVENTO="Manual",IF($A202=0,"&lt;-- defina o número do agrupador",OFFSET(EVENTOS!$D$14,$A202,0)),OFFSET($F$15,$A202,0)))</f>
        <v>INSTALAÇÕES SANITÁRIAS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25.5" x14ac:dyDescent="0.2">
      <c r="A203" s="9" t="str">
        <f t="shared" ca="1" si="10"/>
        <v>179</v>
      </c>
      <c r="B203" s="9" t="str">
        <f ca="1">OFFSET(ORÇAMENTO!C$15,ROW(B203)-ROW(B$15),0)</f>
        <v>S</v>
      </c>
      <c r="C203" s="9" t="str">
        <f ca="1">OFFSET(ORÇAMENTO!L$15,ROW(C203)-ROW(C$15),0)</f>
        <v>F</v>
      </c>
      <c r="D203" s="146" t="str">
        <f ca="1">OFFSET(ORÇAMENTO!N$15,ROW(D203)-ROW(D$15),0)</f>
        <v>Serviço</v>
      </c>
      <c r="E203" s="206" t="str">
        <f ca="1">OFFSET(ORÇAMENTO!O$15,ROW(E203)-ROW(E$15),0)</f>
        <v>1.10.9.</v>
      </c>
      <c r="F203" s="207" t="str">
        <f ca="1">OFFSET(ORÇAMENTO!R$15,ROW(F203)-ROW(F$15),0)</f>
        <v>(abra o arquivo 'Referência 05-2023.xls)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2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11</v>
      </c>
      <c r="N203" s="212" t="str">
        <f ca="1">IF($D203&lt;&gt;"Serviço","",IF(AUTOEVENTO="Manual",IF($A203=0,"&lt;-- defina o número do agrupador",OFFSET(EVENTOS!$D$14,$A203,0)),OFFSET($F$15,$A203,0)))</f>
        <v>INSTALAÇÕES SANITÁRIAS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25.5" x14ac:dyDescent="0.2">
      <c r="A204" s="9" t="str">
        <f t="shared" ca="1" si="10"/>
        <v>179</v>
      </c>
      <c r="B204" s="9" t="str">
        <f ca="1">OFFSET(ORÇAMENTO!C$15,ROW(B204)-ROW(B$15),0)</f>
        <v>S</v>
      </c>
      <c r="C204" s="9" t="str">
        <f ca="1">OFFSET(ORÇAMENTO!L$15,ROW(C204)-ROW(C$15),0)</f>
        <v>F</v>
      </c>
      <c r="D204" s="146" t="str">
        <f ca="1">OFFSET(ORÇAMENTO!N$15,ROW(D204)-ROW(D$15),0)</f>
        <v>Serviço</v>
      </c>
      <c r="E204" s="206" t="str">
        <f ca="1">OFFSET(ORÇAMENTO!O$15,ROW(E204)-ROW(E$15),0)</f>
        <v>1.10.10.</v>
      </c>
      <c r="F204" s="207" t="str">
        <f ca="1">OFFSET(ORÇAMENTO!R$15,ROW(F204)-ROW(F$15),0)</f>
        <v>(abra o arquivo 'Referência 05-2023.xls)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2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11</v>
      </c>
      <c r="N204" s="212" t="str">
        <f ca="1">IF($D204&lt;&gt;"Serviço","",IF(AUTOEVENTO="Manual",IF($A204=0,"&lt;-- defina o número do agrupador",OFFSET(EVENTOS!$D$14,$A204,0)),OFFSET($F$15,$A204,0)))</f>
        <v>INSTALAÇÕES SANITÁRIAS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25.5" x14ac:dyDescent="0.2">
      <c r="A205" s="9" t="str">
        <f t="shared" ca="1" si="10"/>
        <v>179</v>
      </c>
      <c r="B205" s="9" t="str">
        <f ca="1">OFFSET(ORÇAMENTO!C$15,ROW(B205)-ROW(B$15),0)</f>
        <v>S</v>
      </c>
      <c r="C205" s="9" t="str">
        <f ca="1">OFFSET(ORÇAMENTO!L$15,ROW(C205)-ROW(C$15),0)</f>
        <v>F</v>
      </c>
      <c r="D205" s="146" t="str">
        <f ca="1">OFFSET(ORÇAMENTO!N$15,ROW(D205)-ROW(D$15),0)</f>
        <v>Serviço</v>
      </c>
      <c r="E205" s="206" t="str">
        <f ca="1">OFFSET(ORÇAMENTO!O$15,ROW(E205)-ROW(E$15),0)</f>
        <v>1.10.11.</v>
      </c>
      <c r="F205" s="207" t="str">
        <f ca="1">OFFSET(ORÇAMENTO!R$15,ROW(F205)-ROW(F$15),0)</f>
        <v>(abra o arquivo 'Referência 05-2023.xls)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2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11</v>
      </c>
      <c r="N205" s="212" t="str">
        <f ca="1">IF($D205&lt;&gt;"Serviço","",IF(AUTOEVENTO="Manual",IF($A205=0,"&lt;-- defina o número do agrupador",OFFSET(EVENTOS!$D$14,$A205,0)),OFFSET($F$15,$A205,0)))</f>
        <v>INSTALAÇÕES SANITÁRIAS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38.25" x14ac:dyDescent="0.2">
      <c r="A206" s="9" t="str">
        <f t="shared" ca="1" si="10"/>
        <v>179</v>
      </c>
      <c r="B206" s="9" t="str">
        <f ca="1">OFFSET(ORÇAMENTO!C$15,ROW(B206)-ROW(B$15),0)</f>
        <v>S</v>
      </c>
      <c r="C206" s="9" t="str">
        <f ca="1">OFFSET(ORÇAMENTO!L$15,ROW(C206)-ROW(C$15),0)</f>
        <v>F</v>
      </c>
      <c r="D206" s="146" t="str">
        <f ca="1">OFFSET(ORÇAMENTO!N$15,ROW(D206)-ROW(D$15),0)</f>
        <v>Serviço</v>
      </c>
      <c r="E206" s="206" t="str">
        <f ca="1">OFFSET(ORÇAMENTO!O$15,ROW(E206)-ROW(E$15),0)</f>
        <v>1.10.12.</v>
      </c>
      <c r="F206" s="207" t="str">
        <f ca="1">OFFSET(ORÇAMENTO!R$15,ROW(F206)-ROW(F$15),0)</f>
        <v>(abra o arquivo 'Referência 05-2023.xls)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3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11</v>
      </c>
      <c r="N206" s="212" t="str">
        <f ca="1">IF($D206&lt;&gt;"Serviço","",IF(AUTOEVENTO="Manual",IF($A206=0,"&lt;-- defina o número do agrupador",OFFSET(EVENTOS!$D$14,$A206,0)),OFFSET($F$15,$A206,0)))</f>
        <v>INSTALAÇÕES SANITÁRIAS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179</v>
      </c>
      <c r="B207" s="9" t="str">
        <f ca="1">OFFSET(ORÇAMENTO!C$15,ROW(B207)-ROW(B$15),0)</f>
        <v>S</v>
      </c>
      <c r="C207" s="9" t="str">
        <f ca="1">OFFSET(ORÇAMENTO!L$15,ROW(C207)-ROW(C$15),0)</f>
        <v>F</v>
      </c>
      <c r="D207" s="146" t="str">
        <f ca="1">OFFSET(ORÇAMENTO!N$15,ROW(D207)-ROW(D$15),0)</f>
        <v>Serviço</v>
      </c>
      <c r="E207" s="206" t="str">
        <f ca="1">OFFSET(ORÇAMENTO!O$15,ROW(E207)-ROW(E$15),0)</f>
        <v>1.10.13.</v>
      </c>
      <c r="F207" s="207" t="str">
        <f ca="1">OFFSET(ORÇAMENTO!R$15,ROW(F207)-ROW(F$15),0)</f>
        <v>(abra o arquivo 'Referência 05-2023.xls)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2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11</v>
      </c>
      <c r="N207" s="212" t="str">
        <f ca="1">IF($D207&lt;&gt;"Serviço","",IF(AUTOEVENTO="Manual",IF($A207=0,"&lt;-- defina o número do agrupador",OFFSET(EVENTOS!$D$14,$A207,0)),OFFSET($F$15,$A207,0)))</f>
        <v>INSTALAÇÕES SANITÁRIAS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179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(abra o arquivo 'Referência 05-2023.xls)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11</v>
      </c>
      <c r="N208" s="212" t="str">
        <f ca="1">IF($D208&lt;&gt;"Serviço","",IF(AUTOEVENTO="Manual",IF($A208=0,"&lt;-- defina o número do agrupador",OFFSET(EVENTOS!$D$14,$A208,0)),OFFSET($F$15,$A208,0)))</f>
        <v>INSTALAÇÕES SANITÁRIAS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179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(abra o arquivo 'Referência 05-2023.xls)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11</v>
      </c>
      <c r="N209" s="212" t="str">
        <f ca="1">IF($D209&lt;&gt;"Serviço","",IF(AUTOEVENTO="Manual",IF($A209=0,"&lt;-- defina o número do agrupador",OFFSET(EVENTOS!$D$14,$A209,0)),OFFSET($F$15,$A209,0)))</f>
        <v>INSTALAÇÕES SANITÁRIAS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179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(abra o arquivo 'Referência 05-2023.xls)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11</v>
      </c>
      <c r="N210" s="212" t="str">
        <f ca="1">IF($D210&lt;&gt;"Serviço","",IF(AUTOEVENTO="Manual",IF($A210=0,"&lt;-- defina o número do agrupador",OFFSET(EVENTOS!$D$14,$A210,0)),OFFSET($F$15,$A210,0)))</f>
        <v>INSTALAÇÕES SANITÁRIAS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179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(abra o arquivo 'Referência 05-2023.xls)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11</v>
      </c>
      <c r="N211" s="212" t="str">
        <f ca="1">IF($D211&lt;&gt;"Serviço","",IF(AUTOEVENTO="Manual",IF($A211=0,"&lt;-- defina o número do agrupador",OFFSET(EVENTOS!$D$14,$A211,0)),OFFSET($F$15,$A211,0)))</f>
        <v>INSTALAÇÕES SANITÁRIAS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179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(abra o arquivo 'Referência 05-2023.xls)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11</v>
      </c>
      <c r="N212" s="212" t="str">
        <f ca="1">IF($D212&lt;&gt;"Serviço","",IF(AUTOEVENTO="Manual",IF($A212=0,"&lt;-- defina o número do agrupador",OFFSET(EVENTOS!$D$14,$A212,0)),OFFSET($F$15,$A212,0)))</f>
        <v>INSTALAÇÕES SANITÁRIAS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179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(abra o arquivo 'Referência 05-2023.xls)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11</v>
      </c>
      <c r="N213" s="212" t="str">
        <f ca="1">IF($D213&lt;&gt;"Serviço","",IF(AUTOEVENTO="Manual",IF($A213=0,"&lt;-- defina o número do agrupador",OFFSET(EVENTOS!$D$14,$A213,0)),OFFSET($F$15,$A213,0)))</f>
        <v>INSTALAÇÕES SANITÁRIAS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179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(abra o arquivo 'Referência 05-2023.xls)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11</v>
      </c>
      <c r="N214" s="212" t="str">
        <f ca="1">IF($D214&lt;&gt;"Serviço","",IF(AUTOEVENTO="Manual",IF($A214=0,"&lt;-- defina o número do agrupador",OFFSET(EVENTOS!$D$14,$A214,0)),OFFSET($F$15,$A214,0)))</f>
        <v>INSTALAÇÕES SANITÁRIAS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200.</v>
      </c>
      <c r="B215" s="9">
        <f ca="1">OFFSET(ORÇAMENTO!C$15,ROW(B215)-ROW(B$15),0)</f>
        <v>2</v>
      </c>
      <c r="C215" s="9" t="str">
        <f ca="1">OFFSET(ORÇAMENTO!L$15,ROW(C215)-ROW(C$15),0)</f>
        <v>F</v>
      </c>
      <c r="D215" s="146" t="str">
        <f ca="1">OFFSET(ORÇAMENTO!N$15,ROW(D215)-ROW(D$15),0)</f>
        <v>Nível 2</v>
      </c>
      <c r="E215" s="206" t="str">
        <f ca="1">OFFSET(ORÇAMENTO!O$15,ROW(E215)-ROW(E$15),0)</f>
        <v>1.11.</v>
      </c>
      <c r="F215" s="207" t="str">
        <f ca="1">OFFSET(ORÇAMENTO!R$15,ROW(F215)-ROW(F$15),0)</f>
        <v xml:space="preserve">SERVIÇOS ELETRICOS </v>
      </c>
      <c r="G215" s="208" t="str">
        <f ca="1">IF($D215&lt;&gt;"Serviço","",OFFSET(ORÇAMENTO!S$15,ROW(G215)-ROW(G$15),0))</f>
        <v/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 t="str">
        <f ca="1">IF($D215&lt;&gt;"Serviço","",IF(AUTOEVENTO="manual",$A215,IF(ISERROR(MATCH($A215,$A$15:OFFSET($A215,-1,0),0)),MAX($M$15:OFFSET(M215,-1,0))+1,INDEX($M$15:OFFSET(M215,-1,0),MATCH($A215,$A$15:OFFSET($A215,-1,0),0)))))</f>
        <v/>
      </c>
      <c r="N215" s="212" t="str">
        <f ca="1">IF($D215&lt;&gt;"Serviço","",IF(AUTOEVENTO="Manual",IF($A215=0,"&lt;-- defina o número do agrupador",OFFSET(EVENTOS!$D$14,$A215,0)),OFFSET($F$15,$A215,0)))</f>
        <v/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0</v>
      </c>
      <c r="AN215" s="216">
        <f ca="1">IF($D215&lt;&gt;"Serviço",0,IF(AND(AUTOEVENTO="Manual",$M215=1),0,IF(OFFSET(CRONOPLE!$F$14,$M215,AN$13)="",10^12,OFFSET(CRONOPLE!$F$14,$M215,AN$13))))</f>
        <v>0</v>
      </c>
      <c r="AO215" s="216">
        <f ca="1">IF($D215&lt;&gt;"Serviço",0,IF(AND(AUTOEVENTO="Manual",$M215=1),0,IF(OFFSET(CRONOPLE!$F$14,$M215,AO$13)="",10^12,OFFSET(CRONOPLE!$F$14,$M215,AO$13))))</f>
        <v>0</v>
      </c>
      <c r="AP215" s="216">
        <f ca="1">IF($D215&lt;&gt;"Serviço",0,IF(AND(AUTOEVENTO="Manual",$M215=1),0,IF(OFFSET(CRONOPLE!$F$14,$M215,AP$13)="",10^12,OFFSET(CRONOPLE!$F$14,$M215,AP$13))))</f>
        <v>0</v>
      </c>
      <c r="AQ215" s="216">
        <f ca="1">IF($D215&lt;&gt;"Serviço",0,IF(AND(AUTOEVENTO="Manual",$M215=1),0,IF(OFFSET(CRONOPLE!$F$14,$M215,AQ$13)="",10^12,OFFSET(CRONOPLE!$F$14,$M215,AQ$13))))</f>
        <v>0</v>
      </c>
      <c r="AR215" s="216">
        <f ca="1">IF($D215&lt;&gt;"Serviço",0,IF(AND(AUTOEVENTO="Manual",$M215=1),0,IF(OFFSET(CRONOPLE!$F$14,$M215,AR$13)="",10^12,OFFSET(CRONOPLE!$F$14,$M215,AR$13))))</f>
        <v>0</v>
      </c>
      <c r="AS215" s="216">
        <f ca="1">IF($D215&lt;&gt;"Serviço",0,IF(AND(AUTOEVENTO="Manual",$M215=1),0,IF(OFFSET(CRONOPLE!$F$14,$M215,AS$13)="",10^12,OFFSET(CRONOPLE!$F$14,$M215,AS$13))))</f>
        <v>0</v>
      </c>
      <c r="AT215" s="216">
        <f ca="1">IF($D215&lt;&gt;"Serviço",0,IF(AND(AUTOEVENTO="Manual",$M215=1),0,IF(OFFSET(CRONOPLE!$F$14,$M215,AT$13)="",10^12,OFFSET(CRONOPLE!$F$14,$M215,AT$13))))</f>
        <v>0</v>
      </c>
      <c r="AU215" s="216">
        <f ca="1">IF($D215&lt;&gt;"Serviço",0,IF(AND(AUTOEVENTO="Manual",$M215=1),0,IF(OFFSET(CRONOPLE!$F$14,$M215,AU$13)="",10^12,OFFSET(CRONOPLE!$F$14,$M215,AU$13))))</f>
        <v>0</v>
      </c>
      <c r="AV215" s="216">
        <f ca="1">IF($D215&lt;&gt;"Serviço",0,IF(AND(AUTOEVENTO="Manual",$M215=1),0,IF(OFFSET(CRONOPLE!$F$14,$M215,AV$13)="",10^12,OFFSET(CRONOPLE!$F$14,$M215,AV$13))))</f>
        <v>0</v>
      </c>
      <c r="AX215" s="217">
        <f ca="1">IF($D215&lt;&gt;"Serviço",0,IF(OR(AND(AUTOEVENTO="Manual",$M215=1),$M215&gt;(ROW(PLE.lastrow)-ROW(PLE.firstrow))),0,IF(OFFSET(PLE!$G$14,$M215,AX$13)="",10^12,OFFSET(PLE!$G$14,$M215,AX$13))))</f>
        <v>0</v>
      </c>
      <c r="AY215" s="217">
        <f ca="1">IF($D215&lt;&gt;"Serviço",0,IF(OR(AND(AUTOEVENTO="Manual",$M215=1),$M215&gt;(ROW(PLE.lastrow)-ROW(PLE.firstrow))),0,IF(OFFSET(PLE!$G$14,$M215,AY$13)="",10^12,OFFSET(PLE!$G$14,$M215,AY$13))))</f>
        <v>0</v>
      </c>
      <c r="AZ215" s="217">
        <f ca="1">IF($D215&lt;&gt;"Serviço",0,IF(OR(AND(AUTOEVENTO="Manual",$M215=1),$M215&gt;(ROW(PLE.lastrow)-ROW(PLE.firstrow))),0,IF(OFFSET(PLE!$G$14,$M215,AZ$13)="",10^12,OFFSET(PLE!$G$14,$M215,AZ$13))))</f>
        <v>0</v>
      </c>
      <c r="BA215" s="217">
        <f ca="1">IF($D215&lt;&gt;"Serviço",0,IF(OR(AND(AUTOEVENTO="Manual",$M215=1),$M215&gt;(ROW(PLE.lastrow)-ROW(PLE.firstrow))),0,IF(OFFSET(PLE!$G$14,$M215,BA$13)="",10^12,OFFSET(PLE!$G$14,$M215,BA$13))))</f>
        <v>0</v>
      </c>
      <c r="BB215" s="217">
        <f ca="1">IF($D215&lt;&gt;"Serviço",0,IF(OR(AND(AUTOEVENTO="Manual",$M215=1),$M215&gt;(ROW(PLE.lastrow)-ROW(PLE.firstrow))),0,IF(OFFSET(PLE!$G$14,$M215,BB$13)="",10^12,OFFSET(PLE!$G$14,$M215,BB$13))))</f>
        <v>0</v>
      </c>
      <c r="BC215" s="217">
        <f ca="1">IF($D215&lt;&gt;"Serviço",0,IF(OR(AND(AUTOEVENTO="Manual",$M215=1),$M215&gt;(ROW(PLE.lastrow)-ROW(PLE.firstrow))),0,IF(OFFSET(PLE!$G$14,$M215,BC$13)="",10^12,OFFSET(PLE!$G$14,$M215,BC$13))))</f>
        <v>0</v>
      </c>
      <c r="BD215" s="217">
        <f ca="1">IF($D215&lt;&gt;"Serviço",0,IF(OR(AND(AUTOEVENTO="Manual",$M215=1),$M215&gt;(ROW(PLE.lastrow)-ROW(PLE.firstrow))),0,IF(OFFSET(PLE!$G$14,$M215,BD$13)="",10^12,OFFSET(PLE!$G$14,$M215,BD$13))))</f>
        <v>0</v>
      </c>
      <c r="BE215" s="217">
        <f ca="1">IF($D215&lt;&gt;"Serviço",0,IF(OR(AND(AUTOEVENTO="Manual",$M215=1),$M215&gt;(ROW(PLE.lastrow)-ROW(PLE.firstrow))),0,IF(OFFSET(PLE!$G$14,$M215,BE$13)="",10^12,OFFSET(PLE!$G$14,$M215,BE$13))))</f>
        <v>0</v>
      </c>
      <c r="BF215" s="217">
        <f ca="1">IF($D215&lt;&gt;"Serviço",0,IF(OR(AND(AUTOEVENTO="Manual",$M215=1),$M215&gt;(ROW(PLE.lastrow)-ROW(PLE.firstrow))),0,IF(OFFSET(PLE!$G$14,$M215,BF$13)="",10^12,OFFSET(PLE!$G$14,$M215,BF$13))))</f>
        <v>0</v>
      </c>
      <c r="BG215" s="217">
        <f ca="1">IF($D215&lt;&gt;"Serviço",0,IF(OR(AND(AUTOEVENTO="Manual",$M215=1),$M215&gt;(ROW(PLE.lastrow)-ROW(PLE.firstrow))),0,IF(OFFSET(PLE!$G$14,$M215,BG$13)="",10^12,OFFSET(PLE!$G$14,$M215,BG$13))))</f>
        <v>0</v>
      </c>
    </row>
    <row r="216" spans="1:59" ht="51" x14ac:dyDescent="0.2">
      <c r="A216" s="9" t="str">
        <f t="shared" ca="1" si="11"/>
        <v>200</v>
      </c>
      <c r="B216" s="9" t="str">
        <f ca="1">OFFSET(ORÇAMENTO!C$15,ROW(B216)-ROW(B$15),0)</f>
        <v>S</v>
      </c>
      <c r="C216" s="9" t="str">
        <f ca="1">OFFSET(ORÇAMENTO!L$15,ROW(C216)-ROW(C$15),0)</f>
        <v>F</v>
      </c>
      <c r="D216" s="146" t="str">
        <f ca="1">OFFSET(ORÇAMENTO!N$15,ROW(D216)-ROW(D$15),0)</f>
        <v>Serviço</v>
      </c>
      <c r="E216" s="206" t="str">
        <f ca="1">OFFSET(ORÇAMENTO!O$15,ROW(E216)-ROW(E$15),0)</f>
        <v>1.11.1.</v>
      </c>
      <c r="F216" s="207" t="str">
        <f ca="1">OFFSET(ORÇAMENTO!R$15,ROW(F216)-ROW(F$15),0)</f>
        <v>(abra o arquivo 'Referência 05-2023.xls)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1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12</v>
      </c>
      <c r="N216" s="212" t="str">
        <f ca="1">IF($D216&lt;&gt;"Serviço","",IF(AUTOEVENTO="Manual",IF($A216=0,"&lt;-- defina o número do agrupador",OFFSET(EVENTOS!$D$14,$A216,0)),OFFSET($F$15,$A216,0)))</f>
        <v xml:space="preserve">SERVIÇOS ELETRICOS 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25.5" x14ac:dyDescent="0.2">
      <c r="A217" s="9" t="str">
        <f t="shared" ca="1" si="11"/>
        <v>200</v>
      </c>
      <c r="B217" s="9" t="str">
        <f ca="1">OFFSET(ORÇAMENTO!C$15,ROW(B217)-ROW(B$15),0)</f>
        <v>S</v>
      </c>
      <c r="C217" s="9" t="str">
        <f ca="1">OFFSET(ORÇAMENTO!L$15,ROW(C217)-ROW(C$15),0)</f>
        <v>F</v>
      </c>
      <c r="D217" s="146" t="str">
        <f ca="1">OFFSET(ORÇAMENTO!N$15,ROW(D217)-ROW(D$15),0)</f>
        <v>Serviço</v>
      </c>
      <c r="E217" s="206" t="str">
        <f ca="1">OFFSET(ORÇAMENTO!O$15,ROW(E217)-ROW(E$15),0)</f>
        <v>1.11.2.</v>
      </c>
      <c r="F217" s="207" t="str">
        <f ca="1">OFFSET(ORÇAMENTO!R$15,ROW(F217)-ROW(F$15),0)</f>
        <v>(abra o arquivo 'Referência 05-2023.xls)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13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12</v>
      </c>
      <c r="N217" s="212" t="str">
        <f ca="1">IF($D217&lt;&gt;"Serviço","",IF(AUTOEVENTO="Manual",IF($A217=0,"&lt;-- defina o número do agrupador",OFFSET(EVENTOS!$D$14,$A217,0)),OFFSET($F$15,$A217,0)))</f>
        <v xml:space="preserve">SERVIÇOS ELETRICOS 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25.5" x14ac:dyDescent="0.2">
      <c r="A218" s="9" t="str">
        <f t="shared" ca="1" si="11"/>
        <v>200</v>
      </c>
      <c r="B218" s="9" t="str">
        <f ca="1">OFFSET(ORÇAMENTO!C$15,ROW(B218)-ROW(B$15),0)</f>
        <v>S</v>
      </c>
      <c r="C218" s="9" t="str">
        <f ca="1">OFFSET(ORÇAMENTO!L$15,ROW(C218)-ROW(C$15),0)</f>
        <v>F</v>
      </c>
      <c r="D218" s="146" t="str">
        <f ca="1">OFFSET(ORÇAMENTO!N$15,ROW(D218)-ROW(D$15),0)</f>
        <v>Serviço</v>
      </c>
      <c r="E218" s="206" t="str">
        <f ca="1">OFFSET(ORÇAMENTO!O$15,ROW(E218)-ROW(E$15),0)</f>
        <v>1.11.3.</v>
      </c>
      <c r="F218" s="207" t="str">
        <f ca="1">OFFSET(ORÇAMENTO!R$15,ROW(F218)-ROW(F$15),0)</f>
        <v>(abra o arquivo 'Referência 05-2023.xls)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195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12</v>
      </c>
      <c r="N218" s="212" t="str">
        <f ca="1">IF($D218&lt;&gt;"Serviço","",IF(AUTOEVENTO="Manual",IF($A218=0,"&lt;-- defina o número do agrupador",OFFSET(EVENTOS!$D$14,$A218,0)),OFFSET($F$15,$A218,0)))</f>
        <v xml:space="preserve">SERVIÇOS ELETRICOS 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25.5" x14ac:dyDescent="0.2">
      <c r="A219" s="9" t="str">
        <f t="shared" ca="1" si="11"/>
        <v>200</v>
      </c>
      <c r="B219" s="9" t="str">
        <f ca="1">OFFSET(ORÇAMENTO!C$15,ROW(B219)-ROW(B$15),0)</f>
        <v>S</v>
      </c>
      <c r="C219" s="9" t="str">
        <f ca="1">OFFSET(ORÇAMENTO!L$15,ROW(C219)-ROW(C$15),0)</f>
        <v>F</v>
      </c>
      <c r="D219" s="146" t="str">
        <f ca="1">OFFSET(ORÇAMENTO!N$15,ROW(D219)-ROW(D$15),0)</f>
        <v>Serviço</v>
      </c>
      <c r="E219" s="206" t="str">
        <f ca="1">OFFSET(ORÇAMENTO!O$15,ROW(E219)-ROW(E$15),0)</f>
        <v>1.11.4.</v>
      </c>
      <c r="F219" s="207" t="str">
        <f ca="1">OFFSET(ORÇAMENTO!R$15,ROW(F219)-ROW(F$15),0)</f>
        <v>(abra o arquivo 'Referência 05-2023.xls)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76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12</v>
      </c>
      <c r="N219" s="212" t="str">
        <f ca="1">IF($D219&lt;&gt;"Serviço","",IF(AUTOEVENTO="Manual",IF($A219=0,"&lt;-- defina o número do agrupador",OFFSET(EVENTOS!$D$14,$A219,0)),OFFSET($F$15,$A219,0)))</f>
        <v xml:space="preserve">SERVIÇOS ELETRICOS 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25.5" x14ac:dyDescent="0.2">
      <c r="A220" s="9" t="str">
        <f t="shared" ca="1" si="11"/>
        <v>200</v>
      </c>
      <c r="B220" s="9" t="str">
        <f ca="1">OFFSET(ORÇAMENTO!C$15,ROW(B220)-ROW(B$15),0)</f>
        <v>S</v>
      </c>
      <c r="C220" s="9" t="str">
        <f ca="1">OFFSET(ORÇAMENTO!L$15,ROW(C220)-ROW(C$15),0)</f>
        <v>F</v>
      </c>
      <c r="D220" s="146" t="str">
        <f ca="1">OFFSET(ORÇAMENTO!N$15,ROW(D220)-ROW(D$15),0)</f>
        <v>Serviço</v>
      </c>
      <c r="E220" s="206" t="str">
        <f ca="1">OFFSET(ORÇAMENTO!O$15,ROW(E220)-ROW(E$15),0)</f>
        <v>1.11.5.</v>
      </c>
      <c r="F220" s="207" t="str">
        <f ca="1">OFFSET(ORÇAMENTO!R$15,ROW(F220)-ROW(F$15),0)</f>
        <v>(abra o arquivo 'Referência 05-2023.xls)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10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12</v>
      </c>
      <c r="N220" s="212" t="str">
        <f ca="1">IF($D220&lt;&gt;"Serviço","",IF(AUTOEVENTO="Manual",IF($A220=0,"&lt;-- defina o número do agrupador",OFFSET(EVENTOS!$D$14,$A220,0)),OFFSET($F$15,$A220,0)))</f>
        <v xml:space="preserve">SERVIÇOS ELETRICOS 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25.5" x14ac:dyDescent="0.2">
      <c r="A221" s="9" t="str">
        <f t="shared" ca="1" si="11"/>
        <v>200</v>
      </c>
      <c r="B221" s="9" t="str">
        <f ca="1">OFFSET(ORÇAMENTO!C$15,ROW(B221)-ROW(B$15),0)</f>
        <v>S</v>
      </c>
      <c r="C221" s="9" t="str">
        <f ca="1">OFFSET(ORÇAMENTO!L$15,ROW(C221)-ROW(C$15),0)</f>
        <v>F</v>
      </c>
      <c r="D221" s="146" t="str">
        <f ca="1">OFFSET(ORÇAMENTO!N$15,ROW(D221)-ROW(D$15),0)</f>
        <v>Serviço</v>
      </c>
      <c r="E221" s="206" t="str">
        <f ca="1">OFFSET(ORÇAMENTO!O$15,ROW(E221)-ROW(E$15),0)</f>
        <v>1.11.6.</v>
      </c>
      <c r="F221" s="207" t="str">
        <f ca="1">OFFSET(ORÇAMENTO!R$15,ROW(F221)-ROW(F$15),0)</f>
        <v>(abra o arquivo 'Referência 05-2023.xls)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55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12</v>
      </c>
      <c r="N221" s="212" t="str">
        <f ca="1">IF($D221&lt;&gt;"Serviço","",IF(AUTOEVENTO="Manual",IF($A221=0,"&lt;-- defina o número do agrupador",OFFSET(EVENTOS!$D$14,$A221,0)),OFFSET($F$15,$A221,0)))</f>
        <v xml:space="preserve">SERVIÇOS ELETRICOS 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38.25" x14ac:dyDescent="0.2">
      <c r="A222" s="9" t="str">
        <f t="shared" ca="1" si="11"/>
        <v>200</v>
      </c>
      <c r="B222" s="9" t="str">
        <f ca="1">OFFSET(ORÇAMENTO!C$15,ROW(B222)-ROW(B$15),0)</f>
        <v>S</v>
      </c>
      <c r="C222" s="9" t="str">
        <f ca="1">OFFSET(ORÇAMENTO!L$15,ROW(C222)-ROW(C$15),0)</f>
        <v>F</v>
      </c>
      <c r="D222" s="146" t="str">
        <f ca="1">OFFSET(ORÇAMENTO!N$15,ROW(D222)-ROW(D$15),0)</f>
        <v>Serviço</v>
      </c>
      <c r="E222" s="206" t="str">
        <f ca="1">OFFSET(ORÇAMENTO!O$15,ROW(E222)-ROW(E$15),0)</f>
        <v>1.11.7.</v>
      </c>
      <c r="F222" s="207" t="str">
        <f ca="1">OFFSET(ORÇAMENTO!R$15,ROW(F222)-ROW(F$15),0)</f>
        <v>(abra o arquivo 'Referência 05-2023.xls)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112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12</v>
      </c>
      <c r="N222" s="212" t="str">
        <f ca="1">IF($D222&lt;&gt;"Serviço","",IF(AUTOEVENTO="Manual",IF($A222=0,"&lt;-- defina o número do agrupador",OFFSET(EVENTOS!$D$14,$A222,0)),OFFSET($F$15,$A222,0)))</f>
        <v xml:space="preserve">SERVIÇOS ELETRICOS 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38.25" x14ac:dyDescent="0.2">
      <c r="A223" s="9" t="str">
        <f t="shared" ca="1" si="11"/>
        <v>200</v>
      </c>
      <c r="B223" s="9" t="str">
        <f ca="1">OFFSET(ORÇAMENTO!C$15,ROW(B223)-ROW(B$15),0)</f>
        <v>S</v>
      </c>
      <c r="C223" s="9" t="str">
        <f ca="1">OFFSET(ORÇAMENTO!L$15,ROW(C223)-ROW(C$15),0)</f>
        <v>F</v>
      </c>
      <c r="D223" s="146" t="str">
        <f ca="1">OFFSET(ORÇAMENTO!N$15,ROW(D223)-ROW(D$15),0)</f>
        <v>Serviço</v>
      </c>
      <c r="E223" s="206" t="str">
        <f ca="1">OFFSET(ORÇAMENTO!O$15,ROW(E223)-ROW(E$15),0)</f>
        <v>1.11.8.</v>
      </c>
      <c r="F223" s="207" t="str">
        <f ca="1">OFFSET(ORÇAMENTO!R$15,ROW(F223)-ROW(F$15),0)</f>
        <v>(abra o arquivo 'Referência 05-2023.xls)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810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12</v>
      </c>
      <c r="N223" s="212" t="str">
        <f ca="1">IF($D223&lt;&gt;"Serviço","",IF(AUTOEVENTO="Manual",IF($A223=0,"&lt;-- defina o número do agrupador",OFFSET(EVENTOS!$D$14,$A223,0)),OFFSET($F$15,$A223,0)))</f>
        <v xml:space="preserve">SERVIÇOS ELETRICOS 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25.5" x14ac:dyDescent="0.2">
      <c r="A224" s="9" t="str">
        <f t="shared" ca="1" si="11"/>
        <v>200</v>
      </c>
      <c r="B224" s="9" t="str">
        <f ca="1">OFFSET(ORÇAMENTO!C$15,ROW(B224)-ROW(B$15),0)</f>
        <v>S</v>
      </c>
      <c r="C224" s="9" t="str">
        <f ca="1">OFFSET(ORÇAMENTO!L$15,ROW(C224)-ROW(C$15),0)</f>
        <v>F</v>
      </c>
      <c r="D224" s="146" t="str">
        <f ca="1">OFFSET(ORÇAMENTO!N$15,ROW(D224)-ROW(D$15),0)</f>
        <v>Serviço</v>
      </c>
      <c r="E224" s="206" t="str">
        <f ca="1">OFFSET(ORÇAMENTO!O$15,ROW(E224)-ROW(E$15),0)</f>
        <v>1.11.9.</v>
      </c>
      <c r="F224" s="207" t="str">
        <f ca="1">OFFSET(ORÇAMENTO!R$15,ROW(F224)-ROW(F$15),0)</f>
        <v>(abra o arquivo 'Referência 05-2023.xls)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150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12</v>
      </c>
      <c r="N224" s="212" t="str">
        <f ca="1">IF($D224&lt;&gt;"Serviço","",IF(AUTOEVENTO="Manual",IF($A224=0,"&lt;-- defina o número do agrupador",OFFSET(EVENTOS!$D$14,$A224,0)),OFFSET($F$15,$A224,0)))</f>
        <v xml:space="preserve">SERVIÇOS ELETRICOS 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38.25" x14ac:dyDescent="0.2">
      <c r="A225" s="9" t="str">
        <f t="shared" ca="1" si="11"/>
        <v>200</v>
      </c>
      <c r="B225" s="9" t="str">
        <f ca="1">OFFSET(ORÇAMENTO!C$15,ROW(B225)-ROW(B$15),0)</f>
        <v>S</v>
      </c>
      <c r="C225" s="9" t="str">
        <f ca="1">OFFSET(ORÇAMENTO!L$15,ROW(C225)-ROW(C$15),0)</f>
        <v>F</v>
      </c>
      <c r="D225" s="146" t="str">
        <f ca="1">OFFSET(ORÇAMENTO!N$15,ROW(D225)-ROW(D$15),0)</f>
        <v>Serviço</v>
      </c>
      <c r="E225" s="206" t="str">
        <f ca="1">OFFSET(ORÇAMENTO!O$15,ROW(E225)-ROW(E$15),0)</f>
        <v>1.11.10.</v>
      </c>
      <c r="F225" s="207" t="str">
        <f ca="1">OFFSET(ORÇAMENTO!R$15,ROW(F225)-ROW(F$15),0)</f>
        <v>(abra o arquivo 'Referência 05-2023.xls)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805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12</v>
      </c>
      <c r="N225" s="212" t="str">
        <f ca="1">IF($D225&lt;&gt;"Serviço","",IF(AUTOEVENTO="Manual",IF($A225=0,"&lt;-- defina o número do agrupador",OFFSET(EVENTOS!$D$14,$A225,0)),OFFSET($F$15,$A225,0)))</f>
        <v xml:space="preserve">SERVIÇOS ELETRICOS 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38.25" x14ac:dyDescent="0.2">
      <c r="A226" s="9" t="str">
        <f t="shared" ca="1" si="11"/>
        <v>200</v>
      </c>
      <c r="B226" s="9" t="str">
        <f ca="1">OFFSET(ORÇAMENTO!C$15,ROW(B226)-ROW(B$15),0)</f>
        <v>S</v>
      </c>
      <c r="C226" s="9" t="str">
        <f ca="1">OFFSET(ORÇAMENTO!L$15,ROW(C226)-ROW(C$15),0)</f>
        <v>F</v>
      </c>
      <c r="D226" s="146" t="str">
        <f ca="1">OFFSET(ORÇAMENTO!N$15,ROW(D226)-ROW(D$15),0)</f>
        <v>Serviço</v>
      </c>
      <c r="E226" s="206" t="str">
        <f ca="1">OFFSET(ORÇAMENTO!O$15,ROW(E226)-ROW(E$15),0)</f>
        <v>1.11.11.</v>
      </c>
      <c r="F226" s="207" t="str">
        <f ca="1">OFFSET(ORÇAMENTO!R$15,ROW(F226)-ROW(F$15),0)</f>
        <v>(abra o arquivo 'Referência 05-2023.xls)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925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12</v>
      </c>
      <c r="N226" s="212" t="str">
        <f ca="1">IF($D226&lt;&gt;"Serviço","",IF(AUTOEVENTO="Manual",IF($A226=0,"&lt;-- defina o número do agrupador",OFFSET(EVENTOS!$D$14,$A226,0)),OFFSET($F$15,$A226,0)))</f>
        <v xml:space="preserve">SERVIÇOS ELETRICOS 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25.5" x14ac:dyDescent="0.2">
      <c r="A227" s="9" t="str">
        <f t="shared" ca="1" si="11"/>
        <v>200</v>
      </c>
      <c r="B227" s="9" t="str">
        <f ca="1">OFFSET(ORÇAMENTO!C$15,ROW(B227)-ROW(B$15),0)</f>
        <v>S</v>
      </c>
      <c r="C227" s="9" t="str">
        <f ca="1">OFFSET(ORÇAMENTO!L$15,ROW(C227)-ROW(C$15),0)</f>
        <v>F</v>
      </c>
      <c r="D227" s="146" t="str">
        <f ca="1">OFFSET(ORÇAMENTO!N$15,ROW(D227)-ROW(D$15),0)</f>
        <v>Serviço</v>
      </c>
      <c r="E227" s="206" t="str">
        <f ca="1">OFFSET(ORÇAMENTO!O$15,ROW(E227)-ROW(E$15),0)</f>
        <v>1.11.12.</v>
      </c>
      <c r="F227" s="207" t="str">
        <f ca="1">OFFSET(ORÇAMENTO!R$15,ROW(F227)-ROW(F$15),0)</f>
        <v>(abra o arquivo 'Referência 05-2023.xls)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44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12</v>
      </c>
      <c r="N227" s="212" t="str">
        <f ca="1">IF($D227&lt;&gt;"Serviço","",IF(AUTOEVENTO="Manual",IF($A227=0,"&lt;-- defina o número do agrupador",OFFSET(EVENTOS!$D$14,$A227,0)),OFFSET($F$15,$A227,0)))</f>
        <v xml:space="preserve">SERVIÇOS ELETRICOS 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25.5" x14ac:dyDescent="0.2">
      <c r="A228" s="9" t="str">
        <f t="shared" ca="1" si="11"/>
        <v>200</v>
      </c>
      <c r="B228" s="9" t="str">
        <f ca="1">OFFSET(ORÇAMENTO!C$15,ROW(B228)-ROW(B$15),0)</f>
        <v>S</v>
      </c>
      <c r="C228" s="9" t="str">
        <f ca="1">OFFSET(ORÇAMENTO!L$15,ROW(C228)-ROW(C$15),0)</f>
        <v>F</v>
      </c>
      <c r="D228" s="146" t="str">
        <f ca="1">OFFSET(ORÇAMENTO!N$15,ROW(D228)-ROW(D$15),0)</f>
        <v>Serviço</v>
      </c>
      <c r="E228" s="206" t="str">
        <f ca="1">OFFSET(ORÇAMENTO!O$15,ROW(E228)-ROW(E$15),0)</f>
        <v>1.11.13.</v>
      </c>
      <c r="F228" s="207" t="str">
        <f ca="1">OFFSET(ORÇAMENTO!R$15,ROW(F228)-ROW(F$15),0)</f>
        <v>(abra o arquivo 'Referência 05-2023.xls)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6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12</v>
      </c>
      <c r="N228" s="212" t="str">
        <f ca="1">IF($D228&lt;&gt;"Serviço","",IF(AUTOEVENTO="Manual",IF($A228=0,"&lt;-- defina o número do agrupador",OFFSET(EVENTOS!$D$14,$A228,0)),OFFSET($F$15,$A228,0)))</f>
        <v xml:space="preserve">SERVIÇOS ELETRICOS 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25.5" x14ac:dyDescent="0.2">
      <c r="A229" s="9" t="str">
        <f t="shared" ca="1" si="11"/>
        <v>200</v>
      </c>
      <c r="B229" s="9" t="str">
        <f ca="1">OFFSET(ORÇAMENTO!C$15,ROW(B229)-ROW(B$15),0)</f>
        <v>S</v>
      </c>
      <c r="C229" s="9" t="str">
        <f ca="1">OFFSET(ORÇAMENTO!L$15,ROW(C229)-ROW(C$15),0)</f>
        <v>F</v>
      </c>
      <c r="D229" s="146" t="str">
        <f ca="1">OFFSET(ORÇAMENTO!N$15,ROW(D229)-ROW(D$15),0)</f>
        <v>Serviço</v>
      </c>
      <c r="E229" s="206" t="str">
        <f ca="1">OFFSET(ORÇAMENTO!O$15,ROW(E229)-ROW(E$15),0)</f>
        <v>1.11.14.</v>
      </c>
      <c r="F229" s="207" t="str">
        <f ca="1">OFFSET(ORÇAMENTO!R$15,ROW(F229)-ROW(F$15),0)</f>
        <v>(abra o arquivo 'Referência 05-2023.xls)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2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12</v>
      </c>
      <c r="N229" s="212" t="str">
        <f ca="1">IF($D229&lt;&gt;"Serviço","",IF(AUTOEVENTO="Manual",IF($A229=0,"&lt;-- defina o número do agrupador",OFFSET(EVENTOS!$D$14,$A229,0)),OFFSET($F$15,$A229,0)))</f>
        <v xml:space="preserve">SERVIÇOS ELETRICOS 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25.5" x14ac:dyDescent="0.2">
      <c r="A230" s="9" t="str">
        <f t="shared" ca="1" si="11"/>
        <v>200</v>
      </c>
      <c r="B230" s="9" t="str">
        <f ca="1">OFFSET(ORÇAMENTO!C$15,ROW(B230)-ROW(B$15),0)</f>
        <v>S</v>
      </c>
      <c r="C230" s="9" t="str">
        <f ca="1">OFFSET(ORÇAMENTO!L$15,ROW(C230)-ROW(C$15),0)</f>
        <v>F</v>
      </c>
      <c r="D230" s="146" t="str">
        <f ca="1">OFFSET(ORÇAMENTO!N$15,ROW(D230)-ROW(D$15),0)</f>
        <v>Serviço</v>
      </c>
      <c r="E230" s="206" t="str">
        <f ca="1">OFFSET(ORÇAMENTO!O$15,ROW(E230)-ROW(E$15),0)</f>
        <v>1.11.15.</v>
      </c>
      <c r="F230" s="207" t="str">
        <f ca="1">OFFSET(ORÇAMENTO!R$15,ROW(F230)-ROW(F$15),0)</f>
        <v>(abra o arquivo 'Referência 05-2023.xls)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3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12</v>
      </c>
      <c r="N230" s="212" t="str">
        <f ca="1">IF($D230&lt;&gt;"Serviço","",IF(AUTOEVENTO="Manual",IF($A230=0,"&lt;-- defina o número do agrupador",OFFSET(EVENTOS!$D$14,$A230,0)),OFFSET($F$15,$A230,0)))</f>
        <v xml:space="preserve">SERVIÇOS ELETRICOS 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25.5" x14ac:dyDescent="0.2">
      <c r="A231" s="9" t="str">
        <f t="shared" ca="1" si="11"/>
        <v>200</v>
      </c>
      <c r="B231" s="9" t="str">
        <f ca="1">OFFSET(ORÇAMENTO!C$15,ROW(B231)-ROW(B$15),0)</f>
        <v>S</v>
      </c>
      <c r="C231" s="9" t="str">
        <f ca="1">OFFSET(ORÇAMENTO!L$15,ROW(C231)-ROW(C$15),0)</f>
        <v>F</v>
      </c>
      <c r="D231" s="146" t="str">
        <f ca="1">OFFSET(ORÇAMENTO!N$15,ROW(D231)-ROW(D$15),0)</f>
        <v>Serviço</v>
      </c>
      <c r="E231" s="206" t="str">
        <f ca="1">OFFSET(ORÇAMENTO!O$15,ROW(E231)-ROW(E$15),0)</f>
        <v>1.11.16.</v>
      </c>
      <c r="F231" s="207" t="str">
        <f ca="1">OFFSET(ORÇAMENTO!R$15,ROW(F231)-ROW(F$15),0)</f>
        <v>(abra o arquivo 'Referência 05-2023.xls)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1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12</v>
      </c>
      <c r="N231" s="212" t="str">
        <f ca="1">IF($D231&lt;&gt;"Serviço","",IF(AUTOEVENTO="Manual",IF($A231=0,"&lt;-- defina o número do agrupador",OFFSET(EVENTOS!$D$14,$A231,0)),OFFSET($F$15,$A231,0)))</f>
        <v xml:space="preserve">SERVIÇOS ELETRICOS 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200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(abra o arquivo 'Referência 05-2023.xls)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12</v>
      </c>
      <c r="N232" s="212" t="str">
        <f ca="1">IF($D232&lt;&gt;"Serviço","",IF(AUTOEVENTO="Manual",IF($A232=0,"&lt;-- defina o número do agrupador",OFFSET(EVENTOS!$D$14,$A232,0)),OFFSET($F$15,$A232,0)))</f>
        <v xml:space="preserve">SERVIÇOS ELETRICOS 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200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(abra o arquivo 'Referência 05-2023.xls)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12</v>
      </c>
      <c r="N233" s="212" t="str">
        <f ca="1">IF($D233&lt;&gt;"Serviço","",IF(AUTOEVENTO="Manual",IF($A233=0,"&lt;-- defina o número do agrupador",OFFSET(EVENTOS!$D$14,$A233,0)),OFFSET($F$15,$A233,0)))</f>
        <v xml:space="preserve">SERVIÇOS ELETRICOS 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200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(abra o arquivo 'Referência 05-2023.xls)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12</v>
      </c>
      <c r="N234" s="212" t="str">
        <f ca="1">IF($D234&lt;&gt;"Serviço","",IF(AUTOEVENTO="Manual",IF($A234=0,"&lt;-- defina o número do agrupador",OFFSET(EVENTOS!$D$14,$A234,0)),OFFSET($F$15,$A234,0)))</f>
        <v xml:space="preserve">SERVIÇOS ELETRICOS 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200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(abra o arquivo 'Referência 05-2023.xls)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12</v>
      </c>
      <c r="N235" s="212" t="str">
        <f ca="1">IF($D235&lt;&gt;"Serviço","",IF(AUTOEVENTO="Manual",IF($A235=0,"&lt;-- defina o número do agrupador",OFFSET(EVENTOS!$D$14,$A235,0)),OFFSET($F$15,$A235,0)))</f>
        <v xml:space="preserve">SERVIÇOS ELETRICOS 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200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(abra o arquivo 'Referência 05-2023.xls)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12</v>
      </c>
      <c r="N236" s="212" t="str">
        <f ca="1">IF($D236&lt;&gt;"Serviço","",IF(AUTOEVENTO="Manual",IF($A236=0,"&lt;-- defina o número do agrupador",OFFSET(EVENTOS!$D$14,$A236,0)),OFFSET($F$15,$A236,0)))</f>
        <v xml:space="preserve">SERVIÇOS ELETRICOS 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200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(abra o arquivo 'Referência 05-2023.xls)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12</v>
      </c>
      <c r="N237" s="212" t="str">
        <f ca="1">IF($D237&lt;&gt;"Serviço","",IF(AUTOEVENTO="Manual",IF($A237=0,"&lt;-- defina o número do agrupador",OFFSET(EVENTOS!$D$14,$A237,0)),OFFSET($F$15,$A237,0)))</f>
        <v xml:space="preserve">SERVIÇOS ELETRICOS 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200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(abra o arquivo 'Referência 05-2023.xls)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12</v>
      </c>
      <c r="N238" s="212" t="str">
        <f ca="1">IF($D238&lt;&gt;"Serviço","",IF(AUTOEVENTO="Manual",IF($A238=0,"&lt;-- defina o número do agrupador",OFFSET(EVENTOS!$D$14,$A238,0)),OFFSET($F$15,$A238,0)))</f>
        <v xml:space="preserve">SERVIÇOS ELETRICOS 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200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(abra o arquivo 'Referência 05-2023.xls)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12</v>
      </c>
      <c r="N239" s="212" t="str">
        <f ca="1">IF($D239&lt;&gt;"Serviço","",IF(AUTOEVENTO="Manual",IF($A239=0,"&lt;-- defina o número do agrupador",OFFSET(EVENTOS!$D$14,$A239,0)),OFFSET($F$15,$A239,0)))</f>
        <v xml:space="preserve">SERVIÇOS ELETRICOS 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200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(abra o arquivo 'Referência 05-2023.xls)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12</v>
      </c>
      <c r="N240" s="212" t="str">
        <f ca="1">IF($D240&lt;&gt;"Serviço","",IF(AUTOEVENTO="Manual",IF($A240=0,"&lt;-- defina o número do agrupador",OFFSET(EVENTOS!$D$14,$A240,0)),OFFSET($F$15,$A240,0)))</f>
        <v xml:space="preserve">SERVIÇOS ELETRICOS 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200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(abra o arquivo 'Referência 05-2023.xls)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12</v>
      </c>
      <c r="N241" s="212" t="str">
        <f ca="1">IF($D241&lt;&gt;"Serviço","",IF(AUTOEVENTO="Manual",IF($A241=0,"&lt;-- defina o número do agrupador",OFFSET(EVENTOS!$D$14,$A241,0)),OFFSET($F$15,$A241,0)))</f>
        <v xml:space="preserve">SERVIÇOS ELETRICOS 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200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(abra o arquivo 'Referência 05-2023.xls)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12</v>
      </c>
      <c r="N242" s="212" t="str">
        <f ca="1">IF($D242&lt;&gt;"Serviço","",IF(AUTOEVENTO="Manual",IF($A242=0,"&lt;-- defina o número do agrupador",OFFSET(EVENTOS!$D$14,$A242,0)),OFFSET($F$15,$A242,0)))</f>
        <v xml:space="preserve">SERVIÇOS ELETRICOS 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200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(abra o arquivo 'Referência 05-2023.xls)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12</v>
      </c>
      <c r="N243" s="212" t="str">
        <f ca="1">IF($D243&lt;&gt;"Serviço","",IF(AUTOEVENTO="Manual",IF($A243=0,"&lt;-- defina o número do agrupador",OFFSET(EVENTOS!$D$14,$A243,0)),OFFSET($F$15,$A243,0)))</f>
        <v xml:space="preserve">SERVIÇOS ELETRICOS 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200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(abra o arquivo 'Referência 05-2023.xls)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12</v>
      </c>
      <c r="N244" s="212" t="str">
        <f ca="1">IF($D244&lt;&gt;"Serviço","",IF(AUTOEVENTO="Manual",IF($A244=0,"&lt;-- defina o número do agrupador",OFFSET(EVENTOS!$D$14,$A244,0)),OFFSET($F$15,$A244,0)))</f>
        <v xml:space="preserve">SERVIÇOS ELETRICOS 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200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(abra o arquivo 'Referência 05-2023.xls)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12</v>
      </c>
      <c r="N245" s="212" t="str">
        <f ca="1">IF($D245&lt;&gt;"Serviço","",IF(AUTOEVENTO="Manual",IF($A245=0,"&lt;-- defina o número do agrupador",OFFSET(EVENTOS!$D$14,$A245,0)),OFFSET($F$15,$A245,0)))</f>
        <v xml:space="preserve">SERVIÇOS ELETRICOS 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200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(abra o arquivo 'Referência 05-2023.xls)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12</v>
      </c>
      <c r="N246" s="212" t="str">
        <f ca="1">IF($D246&lt;&gt;"Serviço","",IF(AUTOEVENTO="Manual",IF($A246=0,"&lt;-- defina o número do agrupador",OFFSET(EVENTOS!$D$14,$A246,0)),OFFSET($F$15,$A246,0)))</f>
        <v xml:space="preserve">SERVIÇOS ELETRICOS 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232.</v>
      </c>
      <c r="B247" s="9">
        <f ca="1">OFFSET(ORÇAMENTO!C$15,ROW(B247)-ROW(B$15),0)</f>
        <v>2</v>
      </c>
      <c r="C247" s="9" t="str">
        <f ca="1">OFFSET(ORÇAMENTO!L$15,ROW(C247)-ROW(C$15),0)</f>
        <v>F</v>
      </c>
      <c r="D247" s="146" t="str">
        <f ca="1">OFFSET(ORÇAMENTO!N$15,ROW(D247)-ROW(D$15),0)</f>
        <v>Nível 2</v>
      </c>
      <c r="E247" s="206" t="str">
        <f ca="1">OFFSET(ORÇAMENTO!O$15,ROW(E247)-ROW(E$15),0)</f>
        <v>1.12.</v>
      </c>
      <c r="F247" s="207" t="str">
        <f ca="1">OFFSET(ORÇAMENTO!R$15,ROW(F247)-ROW(F$15),0)</f>
        <v xml:space="preserve">REDE GÁS - </v>
      </c>
      <c r="G247" s="208" t="str">
        <f ca="1">IF($D247&lt;&gt;"Serviço","",OFFSET(ORÇAMENTO!S$15,ROW(G247)-ROW(G$15),0))</f>
        <v/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 t="str">
        <f ca="1">IF($D247&lt;&gt;"Serviço","",IF(AUTOEVENTO="manual",$A247,IF(ISERROR(MATCH($A247,$A$15:OFFSET($A247,-1,0),0)),MAX($M$15:OFFSET(M247,-1,0))+1,INDEX($M$15:OFFSET(M247,-1,0),MATCH($A247,$A$15:OFFSET($A247,-1,0),0)))))</f>
        <v/>
      </c>
      <c r="N247" s="212" t="str">
        <f ca="1">IF($D247&lt;&gt;"Serviço","",IF(AUTOEVENTO="Manual",IF($A247=0,"&lt;-- defina o número do agrupador",OFFSET(EVENTOS!$D$14,$A247,0)),OFFSET($F$15,$A247,0)))</f>
        <v/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0</v>
      </c>
      <c r="AN247" s="216">
        <f ca="1">IF($D247&lt;&gt;"Serviço",0,IF(AND(AUTOEVENTO="Manual",$M247=1),0,IF(OFFSET(CRONOPLE!$F$14,$M247,AN$13)="",10^12,OFFSET(CRONOPLE!$F$14,$M247,AN$13))))</f>
        <v>0</v>
      </c>
      <c r="AO247" s="216">
        <f ca="1">IF($D247&lt;&gt;"Serviço",0,IF(AND(AUTOEVENTO="Manual",$M247=1),0,IF(OFFSET(CRONOPLE!$F$14,$M247,AO$13)="",10^12,OFFSET(CRONOPLE!$F$14,$M247,AO$13))))</f>
        <v>0</v>
      </c>
      <c r="AP247" s="216">
        <f ca="1">IF($D247&lt;&gt;"Serviço",0,IF(AND(AUTOEVENTO="Manual",$M247=1),0,IF(OFFSET(CRONOPLE!$F$14,$M247,AP$13)="",10^12,OFFSET(CRONOPLE!$F$14,$M247,AP$13))))</f>
        <v>0</v>
      </c>
      <c r="AQ247" s="216">
        <f ca="1">IF($D247&lt;&gt;"Serviço",0,IF(AND(AUTOEVENTO="Manual",$M247=1),0,IF(OFFSET(CRONOPLE!$F$14,$M247,AQ$13)="",10^12,OFFSET(CRONOPLE!$F$14,$M247,AQ$13))))</f>
        <v>0</v>
      </c>
      <c r="AR247" s="216">
        <f ca="1">IF($D247&lt;&gt;"Serviço",0,IF(AND(AUTOEVENTO="Manual",$M247=1),0,IF(OFFSET(CRONOPLE!$F$14,$M247,AR$13)="",10^12,OFFSET(CRONOPLE!$F$14,$M247,AR$13))))</f>
        <v>0</v>
      </c>
      <c r="AS247" s="216">
        <f ca="1">IF($D247&lt;&gt;"Serviço",0,IF(AND(AUTOEVENTO="Manual",$M247=1),0,IF(OFFSET(CRONOPLE!$F$14,$M247,AS$13)="",10^12,OFFSET(CRONOPLE!$F$14,$M247,AS$13))))</f>
        <v>0</v>
      </c>
      <c r="AT247" s="216">
        <f ca="1">IF($D247&lt;&gt;"Serviço",0,IF(AND(AUTOEVENTO="Manual",$M247=1),0,IF(OFFSET(CRONOPLE!$F$14,$M247,AT$13)="",10^12,OFFSET(CRONOPLE!$F$14,$M247,AT$13))))</f>
        <v>0</v>
      </c>
      <c r="AU247" s="216">
        <f ca="1">IF($D247&lt;&gt;"Serviço",0,IF(AND(AUTOEVENTO="Manual",$M247=1),0,IF(OFFSET(CRONOPLE!$F$14,$M247,AU$13)="",10^12,OFFSET(CRONOPLE!$F$14,$M247,AU$13))))</f>
        <v>0</v>
      </c>
      <c r="AV247" s="216">
        <f ca="1">IF($D247&lt;&gt;"Serviço",0,IF(AND(AUTOEVENTO="Manual",$M247=1),0,IF(OFFSET(CRONOPLE!$F$14,$M247,AV$13)="",10^12,OFFSET(CRONOPLE!$F$14,$M247,AV$13))))</f>
        <v>0</v>
      </c>
      <c r="AX247" s="217">
        <f ca="1">IF($D247&lt;&gt;"Serviço",0,IF(OR(AND(AUTOEVENTO="Manual",$M247=1),$M247&gt;(ROW(PLE.lastrow)-ROW(PLE.firstrow))),0,IF(OFFSET(PLE!$G$14,$M247,AX$13)="",10^12,OFFSET(PLE!$G$14,$M247,AX$13))))</f>
        <v>0</v>
      </c>
      <c r="AY247" s="217">
        <f ca="1">IF($D247&lt;&gt;"Serviço",0,IF(OR(AND(AUTOEVENTO="Manual",$M247=1),$M247&gt;(ROW(PLE.lastrow)-ROW(PLE.firstrow))),0,IF(OFFSET(PLE!$G$14,$M247,AY$13)="",10^12,OFFSET(PLE!$G$14,$M247,AY$13))))</f>
        <v>0</v>
      </c>
      <c r="AZ247" s="217">
        <f ca="1">IF($D247&lt;&gt;"Serviço",0,IF(OR(AND(AUTOEVENTO="Manual",$M247=1),$M247&gt;(ROW(PLE.lastrow)-ROW(PLE.firstrow))),0,IF(OFFSET(PLE!$G$14,$M247,AZ$13)="",10^12,OFFSET(PLE!$G$14,$M247,AZ$13))))</f>
        <v>0</v>
      </c>
      <c r="BA247" s="217">
        <f ca="1">IF($D247&lt;&gt;"Serviço",0,IF(OR(AND(AUTOEVENTO="Manual",$M247=1),$M247&gt;(ROW(PLE.lastrow)-ROW(PLE.firstrow))),0,IF(OFFSET(PLE!$G$14,$M247,BA$13)="",10^12,OFFSET(PLE!$G$14,$M247,BA$13))))</f>
        <v>0</v>
      </c>
      <c r="BB247" s="217">
        <f ca="1">IF($D247&lt;&gt;"Serviço",0,IF(OR(AND(AUTOEVENTO="Manual",$M247=1),$M247&gt;(ROW(PLE.lastrow)-ROW(PLE.firstrow))),0,IF(OFFSET(PLE!$G$14,$M247,BB$13)="",10^12,OFFSET(PLE!$G$14,$M247,BB$13))))</f>
        <v>0</v>
      </c>
      <c r="BC247" s="217">
        <f ca="1">IF($D247&lt;&gt;"Serviço",0,IF(OR(AND(AUTOEVENTO="Manual",$M247=1),$M247&gt;(ROW(PLE.lastrow)-ROW(PLE.firstrow))),0,IF(OFFSET(PLE!$G$14,$M247,BC$13)="",10^12,OFFSET(PLE!$G$14,$M247,BC$13))))</f>
        <v>0</v>
      </c>
      <c r="BD247" s="217">
        <f ca="1">IF($D247&lt;&gt;"Serviço",0,IF(OR(AND(AUTOEVENTO="Manual",$M247=1),$M247&gt;(ROW(PLE.lastrow)-ROW(PLE.firstrow))),0,IF(OFFSET(PLE!$G$14,$M247,BD$13)="",10^12,OFFSET(PLE!$G$14,$M247,BD$13))))</f>
        <v>0</v>
      </c>
      <c r="BE247" s="217">
        <f ca="1">IF($D247&lt;&gt;"Serviço",0,IF(OR(AND(AUTOEVENTO="Manual",$M247=1),$M247&gt;(ROW(PLE.lastrow)-ROW(PLE.firstrow))),0,IF(OFFSET(PLE!$G$14,$M247,BE$13)="",10^12,OFFSET(PLE!$G$14,$M247,BE$13))))</f>
        <v>0</v>
      </c>
      <c r="BF247" s="217">
        <f ca="1">IF($D247&lt;&gt;"Serviço",0,IF(OR(AND(AUTOEVENTO="Manual",$M247=1),$M247&gt;(ROW(PLE.lastrow)-ROW(PLE.firstrow))),0,IF(OFFSET(PLE!$G$14,$M247,BF$13)="",10^12,OFFSET(PLE!$G$14,$M247,BF$13))))</f>
        <v>0</v>
      </c>
      <c r="BG247" s="217">
        <f ca="1">IF($D247&lt;&gt;"Serviço",0,IF(OR(AND(AUTOEVENTO="Manual",$M247=1),$M247&gt;(ROW(PLE.lastrow)-ROW(PLE.firstrow))),0,IF(OFFSET(PLE!$G$14,$M247,BG$13)="",10^12,OFFSET(PLE!$G$14,$M247,BG$13))))</f>
        <v>0</v>
      </c>
    </row>
    <row r="248" spans="1:59" ht="25.5" x14ac:dyDescent="0.2">
      <c r="A248" s="9" t="str">
        <f t="shared" ca="1" si="11"/>
        <v>232</v>
      </c>
      <c r="B248" s="9" t="str">
        <f ca="1">OFFSET(ORÇAMENTO!C$15,ROW(B248)-ROW(B$15),0)</f>
        <v>S</v>
      </c>
      <c r="C248" s="9" t="str">
        <f ca="1">OFFSET(ORÇAMENTO!L$15,ROW(C248)-ROW(C$15),0)</f>
        <v>F</v>
      </c>
      <c r="D248" s="146" t="str">
        <f ca="1">OFFSET(ORÇAMENTO!N$15,ROW(D248)-ROW(D$15),0)</f>
        <v>Serviço</v>
      </c>
      <c r="E248" s="206" t="str">
        <f ca="1">OFFSET(ORÇAMENTO!O$15,ROW(E248)-ROW(E$15),0)</f>
        <v>1.12.1.</v>
      </c>
      <c r="F248" s="207" t="str">
        <f ca="1">OFFSET(ORÇAMENTO!R$15,ROW(F248)-ROW(F$15),0)</f>
        <v>(abra o arquivo 'Referência 05-2023.xls)</v>
      </c>
      <c r="G248" s="208">
        <f ca="1">IF($D248&lt;&gt;"Serviço","",OFFSET(ORÇAMENTO!S$15,ROW(G248)-ROW(G$15),0))</f>
        <v>5278.29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1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13</v>
      </c>
      <c r="N248" s="212" t="str">
        <f ca="1">IF($D248&lt;&gt;"Serviço","",IF(AUTOEVENTO="Manual",IF($A248=0,"&lt;-- defina o número do agrupador",OFFSET(EVENTOS!$D$14,$A248,0)),OFFSET($F$15,$A248,0)))</f>
        <v xml:space="preserve">REDE GÁS - 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232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(abra o arquivo 'Referência 05-2023.xls)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13</v>
      </c>
      <c r="N249" s="212" t="str">
        <f ca="1">IF($D249&lt;&gt;"Serviço","",IF(AUTOEVENTO="Manual",IF($A249=0,"&lt;-- defina o número do agrupador",OFFSET(EVENTOS!$D$14,$A249,0)),OFFSET($F$15,$A249,0)))</f>
        <v xml:space="preserve">REDE GÁS - 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232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(abra o arquivo 'Referência 05-2023.xls)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13</v>
      </c>
      <c r="N250" s="212" t="str">
        <f ca="1">IF($D250&lt;&gt;"Serviço","",IF(AUTOEVENTO="Manual",IF($A250=0,"&lt;-- defina o número do agrupador",OFFSET(EVENTOS!$D$14,$A250,0)),OFFSET($F$15,$A250,0)))</f>
        <v xml:space="preserve">REDE GÁS - 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232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(abra o arquivo 'Referência 05-2023.xls)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13</v>
      </c>
      <c r="N251" s="212" t="str">
        <f ca="1">IF($D251&lt;&gt;"Serviço","",IF(AUTOEVENTO="Manual",IF($A251=0,"&lt;-- defina o número do agrupador",OFFSET(EVENTOS!$D$14,$A251,0)),OFFSET($F$15,$A251,0)))</f>
        <v xml:space="preserve">REDE GÁS - 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232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(abra o arquivo 'Referência 05-2023.xls)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13</v>
      </c>
      <c r="N252" s="212" t="str">
        <f ca="1">IF($D252&lt;&gt;"Serviço","",IF(AUTOEVENTO="Manual",IF($A252=0,"&lt;-- defina o número do agrupador",OFFSET(EVENTOS!$D$14,$A252,0)),OFFSET($F$15,$A252,0)))</f>
        <v xml:space="preserve">REDE GÁS - 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232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(abra o arquivo 'Referência 05-2023.xls)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13</v>
      </c>
      <c r="N253" s="212" t="str">
        <f ca="1">IF($D253&lt;&gt;"Serviço","",IF(AUTOEVENTO="Manual",IF($A253=0,"&lt;-- defina o número do agrupador",OFFSET(EVENTOS!$D$14,$A253,0)),OFFSET($F$15,$A253,0)))</f>
        <v xml:space="preserve">REDE GÁS - 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232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(abra o arquivo 'Referência 05-2023.xls)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13</v>
      </c>
      <c r="N254" s="212" t="str">
        <f ca="1">IF($D254&lt;&gt;"Serviço","",IF(AUTOEVENTO="Manual",IF($A254=0,"&lt;-- defina o número do agrupador",OFFSET(EVENTOS!$D$14,$A254,0)),OFFSET($F$15,$A254,0)))</f>
        <v xml:space="preserve">REDE GÁS - 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232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(abra o arquivo 'Referência 05-2023.xls)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13</v>
      </c>
      <c r="N255" s="212" t="str">
        <f ca="1">IF($D255&lt;&gt;"Serviço","",IF(AUTOEVENTO="Manual",IF($A255=0,"&lt;-- defina o número do agrupador",OFFSET(EVENTOS!$D$14,$A255,0)),OFFSET($F$15,$A255,0)))</f>
        <v xml:space="preserve">REDE GÁS - 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232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(abra o arquivo 'Referência 05-2023.xls)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13</v>
      </c>
      <c r="N256" s="212" t="str">
        <f ca="1">IF($D256&lt;&gt;"Serviço","",IF(AUTOEVENTO="Manual",IF($A256=0,"&lt;-- defina o número do agrupador",OFFSET(EVENTOS!$D$14,$A256,0)),OFFSET($F$15,$A256,0)))</f>
        <v xml:space="preserve">REDE GÁS - 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232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(abra o arquivo 'Referência 05-2023.xls)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13</v>
      </c>
      <c r="N257" s="212" t="str">
        <f ca="1">IF($D257&lt;&gt;"Serviço","",IF(AUTOEVENTO="Manual",IF($A257=0,"&lt;-- defina o número do agrupador",OFFSET(EVENTOS!$D$14,$A257,0)),OFFSET($F$15,$A257,0)))</f>
        <v xml:space="preserve">REDE GÁS - 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232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(abra o arquivo 'Referência 05-2023.xls)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13</v>
      </c>
      <c r="N258" s="212" t="str">
        <f ca="1">IF($D258&lt;&gt;"Serviço","",IF(AUTOEVENTO="Manual",IF($A258=0,"&lt;-- defina o número do agrupador",OFFSET(EVENTOS!$D$14,$A258,0)),OFFSET($F$15,$A258,0)))</f>
        <v xml:space="preserve">REDE GÁS - 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232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(abra o arquivo 'Referência 05-2023.xls)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13</v>
      </c>
      <c r="N259" s="212" t="str">
        <f ca="1">IF($D259&lt;&gt;"Serviço","",IF(AUTOEVENTO="Manual",IF($A259=0,"&lt;-- defina o número do agrupador",OFFSET(EVENTOS!$D$14,$A259,0)),OFFSET($F$15,$A259,0)))</f>
        <v xml:space="preserve">REDE GÁS - 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232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(abra o arquivo 'Referência 05-2023.xls)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13</v>
      </c>
      <c r="N260" s="212" t="str">
        <f ca="1">IF($D260&lt;&gt;"Serviço","",IF(AUTOEVENTO="Manual",IF($A260=0,"&lt;-- defina o número do agrupador",OFFSET(EVENTOS!$D$14,$A260,0)),OFFSET($F$15,$A260,0)))</f>
        <v xml:space="preserve">REDE GÁS - 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232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(abra o arquivo 'Referência 05-2023.xls)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13</v>
      </c>
      <c r="N261" s="212" t="str">
        <f ca="1">IF($D261&lt;&gt;"Serviço","",IF(AUTOEVENTO="Manual",IF($A261=0,"&lt;-- defina o número do agrupador",OFFSET(EVENTOS!$D$14,$A261,0)),OFFSET($F$15,$A261,0)))</f>
        <v xml:space="preserve">REDE GÁS - 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232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(abra o arquivo 'Referência 05-2023.xls)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13</v>
      </c>
      <c r="N262" s="212" t="str">
        <f ca="1">IF($D262&lt;&gt;"Serviço","",IF(AUTOEVENTO="Manual",IF($A262=0,"&lt;-- defina o número do agrupador",OFFSET(EVENTOS!$D$14,$A262,0)),OFFSET($F$15,$A262,0)))</f>
        <v xml:space="preserve">REDE GÁS - 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232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(abra o arquivo 'Referência 05-2023.xls)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13</v>
      </c>
      <c r="N263" s="212" t="str">
        <f ca="1">IF($D263&lt;&gt;"Serviço","",IF(AUTOEVENTO="Manual",IF($A263=0,"&lt;-- defina o número do agrupador",OFFSET(EVENTOS!$D$14,$A263,0)),OFFSET($F$15,$A263,0)))</f>
        <v xml:space="preserve">REDE GÁS - 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232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(abra o arquivo 'Referência 05-2023.xls)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13</v>
      </c>
      <c r="N264" s="212" t="str">
        <f ca="1">IF($D264&lt;&gt;"Serviço","",IF(AUTOEVENTO="Manual",IF($A264=0,"&lt;-- defina o número do agrupador",OFFSET(EVENTOS!$D$14,$A264,0)),OFFSET($F$15,$A264,0)))</f>
        <v xml:space="preserve">REDE GÁS - 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232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(abra o arquivo 'Referência 05-2023.xls)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13</v>
      </c>
      <c r="N265" s="212" t="str">
        <f ca="1">IF($D265&lt;&gt;"Serviço","",IF(AUTOEVENTO="Manual",IF($A265=0,"&lt;-- defina o número do agrupador",OFFSET(EVENTOS!$D$14,$A265,0)),OFFSET($F$15,$A265,0)))</f>
        <v xml:space="preserve">REDE GÁS - 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CEU AZUL - 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GIAN CARLOS BORTOLINI VALLI</v>
      </c>
      <c r="K272" s="97"/>
      <c r="L272" s="97"/>
      <c r="T272" s="604" t="str">
        <f t="array" aca="1" ref="T272:T274" ca="1">OFFSET(Import.RespOrçamento,0,-1) &amp; " " &amp; Import.RespOrçamento</f>
        <v>Nome: GIAN CARLOS BORTOLINI VALLI</v>
      </c>
      <c r="U272" s="96"/>
    </row>
    <row r="273" spans="3:21" ht="12.75" customHeight="1" x14ac:dyDescent="0.2">
      <c r="F273" s="601">
        <f>DADOS!$F$25</f>
        <v>45131</v>
      </c>
      <c r="I273" s="604" t="str">
        <f ca="1"/>
        <v>CREA/CAU: PR-163755/D</v>
      </c>
      <c r="K273" s="97"/>
      <c r="L273" s="97"/>
      <c r="T273" s="604" t="str">
        <f ca="1"/>
        <v>CREA/CAU: PR-163755/D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26" activePane="bottomRight" state="frozen"/>
      <selection activeCell="F4" sqref="F4"/>
      <selection pane="topRight" activeCell="T4" sqref="T4"/>
      <selection pane="bottomLeft" activeCell="F14" sqref="F14"/>
      <selection pane="bottomRight" activeCell="AC39" sqref="AC39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64" t="s">
        <v>139</v>
      </c>
      <c r="AE4" s="664"/>
    </row>
    <row r="5" spans="1:32" ht="15" x14ac:dyDescent="0.2">
      <c r="R5" s="107" t="str">
        <f>import.recurso</f>
        <v>(SELECIONAR)</v>
      </c>
      <c r="AD5" s="665" t="s">
        <v>142</v>
      </c>
      <c r="AE5" s="665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16" t="s">
        <v>270</v>
      </c>
      <c r="H7" s="268" t="s">
        <v>439</v>
      </c>
      <c r="I7" s="269"/>
      <c r="J7" s="270" t="s">
        <v>440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92" t="s">
        <v>208</v>
      </c>
      <c r="G8" s="716"/>
      <c r="H8" s="715">
        <f>Import.CR</f>
        <v>0</v>
      </c>
      <c r="I8" s="715"/>
      <c r="J8" s="274">
        <f>Import.SICONV</f>
        <v>0</v>
      </c>
      <c r="K8" s="725" t="str">
        <f>Import.Proponente</f>
        <v>MUNICIPIO DE CÉU AZUL</v>
      </c>
      <c r="L8" s="725"/>
      <c r="M8" s="725"/>
      <c r="N8" s="725"/>
      <c r="O8" s="725"/>
      <c r="P8" s="725"/>
      <c r="Q8" s="725"/>
      <c r="R8" s="725"/>
      <c r="S8" s="725"/>
      <c r="T8" s="715" t="str">
        <f>Import.Apelido</f>
        <v>OBRA DE MODERNIZAÇÃO DO CENTRO COMUNITARIO DE NOVA UNIÃO</v>
      </c>
      <c r="U8" s="715"/>
      <c r="V8" s="715"/>
      <c r="W8" s="715"/>
      <c r="X8" s="715"/>
      <c r="Y8" s="722">
        <f>IF(TIPOORCAMENTO="Licitado",Import.empresa,Import.DescLote)</f>
        <v>0</v>
      </c>
      <c r="Z8" s="722"/>
      <c r="AA8" s="722"/>
      <c r="AB8" s="722"/>
      <c r="AC8" s="722"/>
      <c r="AD8" s="722"/>
      <c r="AE8" s="275" t="str">
        <f>IF(TIPOORCAMENTO="Licitado",Import.CTEF,"")</f>
        <v/>
      </c>
    </row>
    <row r="9" spans="1:32" x14ac:dyDescent="0.2">
      <c r="E9" s="144"/>
      <c r="F9" s="692"/>
      <c r="G9" s="716"/>
    </row>
    <row r="10" spans="1:32" x14ac:dyDescent="0.2">
      <c r="E10" s="267"/>
      <c r="F10" s="692"/>
      <c r="G10" s="276">
        <v>2</v>
      </c>
      <c r="J10" s="726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6"/>
      <c r="L10" s="726"/>
      <c r="M10" s="726"/>
      <c r="N10" s="726"/>
      <c r="O10" s="726"/>
      <c r="P10" s="726"/>
      <c r="Q10" s="726"/>
      <c r="R10" s="726"/>
      <c r="S10" s="726"/>
    </row>
    <row r="11" spans="1:32" ht="12.75" customHeight="1" x14ac:dyDescent="0.2">
      <c r="F11" s="692"/>
      <c r="H11" s="277"/>
      <c r="I11" s="277"/>
      <c r="J11" s="726"/>
      <c r="K11" s="726"/>
      <c r="L11" s="726"/>
      <c r="M11" s="726"/>
      <c r="N11" s="726"/>
      <c r="O11" s="726"/>
      <c r="P11" s="726"/>
      <c r="Q11" s="726"/>
      <c r="R11" s="726"/>
      <c r="S11" s="726"/>
    </row>
    <row r="12" spans="1:32" ht="12.75" customHeight="1" x14ac:dyDescent="0.2">
      <c r="D12" s="278">
        <f ca="1">OFFSET(D12,0,-1)+1</f>
        <v>1</v>
      </c>
      <c r="F12" s="136" t="s">
        <v>216</v>
      </c>
      <c r="G12" s="718" t="s">
        <v>273</v>
      </c>
      <c r="H12" s="719" t="s">
        <v>230</v>
      </c>
      <c r="I12" s="720" t="s">
        <v>233</v>
      </c>
      <c r="J12" s="279"/>
      <c r="K12" s="279"/>
      <c r="L12" s="280"/>
      <c r="M12" s="280"/>
      <c r="N12" s="280"/>
      <c r="O12" s="280"/>
      <c r="P12" s="280"/>
      <c r="Q12" s="280"/>
      <c r="R12" s="723" t="s">
        <v>274</v>
      </c>
      <c r="S12" s="724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18"/>
      <c r="H13" s="719"/>
      <c r="I13" s="720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23"/>
      <c r="S13" s="724"/>
      <c r="T13" s="288">
        <v>45139</v>
      </c>
      <c r="U13" s="284">
        <f ca="1">OFFSET(U13,0,-1)+41-DAY(OFFSET(U13,0,-1)+40)</f>
        <v>45170</v>
      </c>
      <c r="V13" s="284">
        <f ca="1">OFFSET(V13,0,-1)+41-DAY(OFFSET(V13,0,-1)+40)</f>
        <v>45200</v>
      </c>
      <c r="W13" s="284">
        <f t="shared" ref="W13:AE13" ca="1" si="2">OFFSET(W13,0,-1)+41-DAY(OFFSET(W13,0,-1)+40)</f>
        <v>45231</v>
      </c>
      <c r="X13" s="284">
        <f t="shared" ca="1" si="2"/>
        <v>45261</v>
      </c>
      <c r="Y13" s="284">
        <f t="shared" ca="1" si="2"/>
        <v>45292</v>
      </c>
      <c r="Z13" s="284">
        <f t="shared" ca="1" si="2"/>
        <v>45323</v>
      </c>
      <c r="AA13" s="284">
        <f t="shared" ca="1" si="2"/>
        <v>45352</v>
      </c>
      <c r="AB13" s="284">
        <f t="shared" ca="1" si="2"/>
        <v>45383</v>
      </c>
      <c r="AC13" s="284">
        <f t="shared" ca="1" si="2"/>
        <v>45413</v>
      </c>
      <c r="AD13" s="284">
        <f t="shared" ca="1" si="2"/>
        <v>45444</v>
      </c>
      <c r="AE13" s="289">
        <f t="shared" ca="1" si="2"/>
        <v>45474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REFORMA DO CENTRO COMUNITÁRIO DE NOVA UNIÃO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38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38</v>
      </c>
      <c r="R14" s="248">
        <f ca="1">IF($E15=0,OFFSET(ORÇAMENTO!X$15,$E14,0),IF($E15&lt;&gt;-1,OFFSET(QCI!$O$13,$E15,0),""))</f>
        <v>599993.04</v>
      </c>
      <c r="S14" s="249" t="s">
        <v>269</v>
      </c>
      <c r="T14" s="250">
        <f t="shared" ref="T14:AE14" ca="1" si="3">IF(AND($Q14=2,ACOMPANHAMENTO="BM"),T15,T16/$R14)</f>
        <v>9.2508114760797899E-2</v>
      </c>
      <c r="U14" s="242">
        <f t="shared" ca="1" si="3"/>
        <v>0.11802494408935144</v>
      </c>
      <c r="V14" s="242">
        <f t="shared" ca="1" si="3"/>
        <v>0.36944291053776224</v>
      </c>
      <c r="W14" s="242">
        <f t="shared" ca="1" si="3"/>
        <v>0.27811636781653332</v>
      </c>
      <c r="X14" s="242">
        <f t="shared" ca="1" si="3"/>
        <v>7.0953831397777542E-2</v>
      </c>
      <c r="Y14" s="242">
        <f t="shared" ca="1" si="3"/>
        <v>7.0953831397777542E-2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55504.225000000006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70814.145000000004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221663.17500000002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166867.88500000001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42571.805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42571.805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>
        <f ca="1">IF(OR(R17=0,R17=""),"Linha",IF(AND(OR(ACOMPANHAMENTO="PLE",$Q17&lt;&gt;2),$E18=0),"Linha",1-SUM(T17:AF17)))</f>
        <v>0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SERVIÇOS PRELIMINARES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35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24603.99</v>
      </c>
      <c r="S17" s="249" t="s">
        <v>269</v>
      </c>
      <c r="T17" s="250">
        <f t="shared" ref="T17:AE17" ca="1" si="4">IF(AND($Q17=2,ACOMPANHAMENTO="BM"),T18,T19/$R17)</f>
        <v>1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--&gt;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1</v>
      </c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24603.99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</v>
      </c>
      <c r="E20" s="239">
        <f ca="1">IF(A20&lt;=ORÇAMENTO.MáximoListaCrono,MATCH(A20,ORÇAMENTO.ListaCrono,0),NA())</f>
        <v>30</v>
      </c>
      <c r="F20" s="239" t="str">
        <f ca="1">IF(AND($E21&lt;&gt;-1,$R20&gt;0),"F","")</f>
        <v>F</v>
      </c>
      <c r="G20" s="243">
        <f ca="1">IF(OR(R20=0,R20=""),"Linha",IF(AND(OR(ACOMPANHAMENTO="PLE",$Q20&lt;&gt;2),$E21=0),"Linha",1-SUM(T20:AF20)))</f>
        <v>0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INFRAESTRUTURA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32</v>
      </c>
      <c r="N20" s="247">
        <f ca="1">IF($E21=-1,0,IF(N$13&lt;=$L20,IF(ISERROR(MATCH(N$13,OFFSET($L20,1,0,ROW($L$164)-ROW($L20)-1),0)),ROW($L$164)-ROW($L20)-1,MATCH(N$13,OFFSET($L20,1,0,ROW($L$164)-ROW($L20)-1),0)-1),0))</f>
        <v>2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14881.38</v>
      </c>
      <c r="S20" s="249" t="s">
        <v>269</v>
      </c>
      <c r="T20" s="250">
        <f t="shared" ref="T20:AE20" ca="1" si="5">IF(AND($Q20=2,ACOMPANHAMENTO="BM"),T21,T22/$R20)</f>
        <v>1</v>
      </c>
      <c r="U20" s="242">
        <f t="shared" ca="1" si="5"/>
        <v>0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--&gt;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>
        <v>1</v>
      </c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14881.38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55</v>
      </c>
      <c r="F23" s="239" t="str">
        <f ca="1">IF(AND($E24&lt;&gt;-1,$R23&gt;0),"F","")</f>
        <v>F</v>
      </c>
      <c r="G23" s="243">
        <f ca="1">IF(OR(R23=0,R23=""),"Linha",IF(AND(OR(ACOMPANHAMENTO="PLE",$Q23&lt;&gt;2),$E24=0),"Linha",1-SUM(T23:AF23)))</f>
        <v>0</v>
      </c>
      <c r="H23" s="244" t="str">
        <f ca="1">IF($E24=0,OFFSET(ORÇAMENTO!O$15,$E23,0),IF($E24&lt;&gt;-1,OFFSET(QCI!$D$13,$E24,0),""))</f>
        <v>1.3.</v>
      </c>
      <c r="I23" s="245" t="str">
        <f ca="1">IF($E24=0,OFFSET(ORÇAMENTO!R$15,$E23,0),IF($E24&lt;&gt;-1,OFFSET(QCI!$G$13,$E24,0),""))</f>
        <v>SUPRAESTRUTURA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29</v>
      </c>
      <c r="N23" s="247">
        <f ca="1">IF($E24=-1,0,IF(N$13&lt;=$L23,IF(ISERROR(MATCH(N$13,OFFSET($L23,1,0,ROW($L$164)-ROW($L23)-1),0)),ROW($L$164)-ROW($L23)-1,MATCH(N$13,OFFSET($L23,1,0,ROW($L$164)-ROW($L23)-1),0)-1),0))</f>
        <v>2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32037.71</v>
      </c>
      <c r="S23" s="249" t="s">
        <v>269</v>
      </c>
      <c r="T23" s="250">
        <f t="shared" ref="T23:AE23" ca="1" si="6">IF(AND($Q23=2,ACOMPANHAMENTO="BM"),T24,T25/$R23)</f>
        <v>0.5</v>
      </c>
      <c r="U23" s="242">
        <f t="shared" ca="1" si="6"/>
        <v>0.5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--&gt;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>
        <v>0.5</v>
      </c>
      <c r="U24" s="620">
        <v>0.5</v>
      </c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16018.855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16018.855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90</v>
      </c>
      <c r="F26" s="239" t="str">
        <f ca="1">IF(AND($E27&lt;&gt;-1,$R26&gt;0),"F","")</f>
        <v>F</v>
      </c>
      <c r="G26" s="243">
        <f ca="1">IF(OR(R26=0,R26=""),"Linha",IF(AND(OR(ACOMPANHAMENTO="PLE",$Q26&lt;&gt;2),$E27=0),"Linha",1-SUM(T26:AF26)))</f>
        <v>0</v>
      </c>
      <c r="H26" s="244" t="str">
        <f ca="1">IF($E27=0,OFFSET(ORÇAMENTO!O$15,$E26,0),IF($E27&lt;&gt;-1,OFFSET(QCI!$D$13,$E27,0),""))</f>
        <v>1.4.</v>
      </c>
      <c r="I26" s="245" t="str">
        <f ca="1">IF($E27=0,OFFSET(ORÇAMENTO!R$15,$E26,0),IF($E27&lt;&gt;-1,OFFSET(QCI!$G$13,$E27,0),""))</f>
        <v>ALVENARIA/ PAREDES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26</v>
      </c>
      <c r="N26" s="247">
        <f ca="1">IF($E27=-1,0,IF(N$13&lt;=$L26,IF(ISERROR(MATCH(N$13,OFFSET($L26,1,0,ROW($L$164)-ROW($L26)-1),0)),ROW($L$164)-ROW($L26)-1,MATCH(N$13,OFFSET($L26,1,0,ROW($L$164)-ROW($L26)-1),0)-1),0))</f>
        <v>2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64380.74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0.5</v>
      </c>
      <c r="V26" s="242">
        <f t="shared" ca="1" si="7"/>
        <v>0.5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--&gt;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>
        <v>0.5</v>
      </c>
      <c r="V27" s="620">
        <v>0.5</v>
      </c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32190.37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32190.37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111</v>
      </c>
      <c r="F29" s="239" t="str">
        <f ca="1">IF(AND($E30&lt;&gt;-1,$R29&gt;0),"F","")</f>
        <v>F</v>
      </c>
      <c r="G29" s="243">
        <f ca="1">IF(OR(R29=0,R29=""),"Linha",IF(AND(OR(ACOMPANHAMENTO="PLE",$Q29&lt;&gt;2),$E30=0),"Linha",1-SUM(T29:AF29)))</f>
        <v>0</v>
      </c>
      <c r="H29" s="244" t="str">
        <f ca="1">IF($E30=0,OFFSET(ORÇAMENTO!O$15,$E29,0),IF($E30&lt;&gt;-1,OFFSET(QCI!$D$13,$E30,0),""))</f>
        <v>1.5.</v>
      </c>
      <c r="I29" s="245" t="str">
        <f ca="1">IF($E30=0,OFFSET(ORÇAMENTO!R$15,$E29,0),IF($E30&lt;&gt;-1,OFFSET(QCI!$G$13,$E30,0),""))</f>
        <v>PISO</v>
      </c>
      <c r="J29" s="245"/>
      <c r="K29" s="245"/>
      <c r="L29" s="246">
        <f ca="1">IF($E30=0,OFFSET(ORÇAMENTO!C$15,$E29,0),1)</f>
        <v>2</v>
      </c>
      <c r="M29" s="247">
        <f ca="1">IF($E30=-1,0,IF(M$13&lt;=$L29,IF(ISERROR(MATCH(M$13,OFFSET($L29,1,0,ROW($L$164)-ROW($L29)-1),0)),ROW($L$164)-ROW($L29)-1,MATCH(M$13,OFFSET($L29,1,0,ROW($L$164)-ROW($L29)-1),0)-1),0))</f>
        <v>23</v>
      </c>
      <c r="N29" s="247">
        <f ca="1">IF($E30=-1,0,IF(N$13&lt;=$L29,IF(ISERROR(MATCH(N$13,OFFSET($L29,1,0,ROW($L$164)-ROW($L29)-1),0)),ROW($L$164)-ROW($L29)-1,MATCH(N$13,OFFSET($L29,1,0,ROW($L$164)-ROW($L29)-1),0)-1),0))</f>
        <v>2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172690.64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</v>
      </c>
      <c r="V29" s="242">
        <f t="shared" ca="1" si="8"/>
        <v>0.5</v>
      </c>
      <c r="W29" s="242">
        <f t="shared" ca="1" si="8"/>
        <v>0.5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--&gt;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>
        <v>0.5</v>
      </c>
      <c r="W30" s="620">
        <v>0.5</v>
      </c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2$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86345.32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86345.32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0</v>
      </c>
      <c r="D32" s="242">
        <f ca="1">IF(AND($Q32=2,ACOMPANHAMENTO="BM"),D33,D34/$R32)</f>
        <v>0</v>
      </c>
      <c r="E32" s="239">
        <f ca="1">IF(A32&lt;=ORÇAMENTO.MáximoListaCrono,MATCH(A32,ORÇAMENTO.ListaCrono,0),NA())</f>
        <v>126</v>
      </c>
      <c r="F32" s="239" t="str">
        <f ca="1">IF(AND($E33&lt;&gt;-1,$R32&gt;0),"F","")</f>
        <v>F</v>
      </c>
      <c r="G32" s="243">
        <f ca="1">IF(OR(R32=0,R32=""),"Linha",IF(AND(OR(ACOMPANHAMENTO="PLE",$Q32&lt;&gt;2),$E33=0),"Linha",1-SUM(T32:AF32)))</f>
        <v>0</v>
      </c>
      <c r="H32" s="244" t="str">
        <f ca="1">IF($E33=0,OFFSET(ORÇAMENTO!O$15,$E32,0),IF($E33&lt;&gt;-1,OFFSET(QCI!$D$13,$E33,0),""))</f>
        <v>1.6.</v>
      </c>
      <c r="I32" s="245" t="str">
        <f ca="1">IF($E33=0,OFFSET(ORÇAMENTO!R$15,$E32,0),IF($E33&lt;&gt;-1,OFFSET(QCI!$G$13,$E33,0),""))</f>
        <v>COBERTURA</v>
      </c>
      <c r="J32" s="245"/>
      <c r="K32" s="245"/>
      <c r="L32" s="246">
        <f ca="1">IF($E33=0,OFFSET(ORÇAMENTO!C$15,$E32,0),1)</f>
        <v>2</v>
      </c>
      <c r="M32" s="247">
        <f ca="1">IF($E33=-1,0,IF(M$13&lt;=$L32,IF(ISERROR(MATCH(M$13,OFFSET($L32,1,0,ROW($L$164)-ROW($L32)-1),0)),ROW($L$164)-ROW($L32)-1,MATCH(M$13,OFFSET($L32,1,0,ROW($L$164)-ROW($L32)-1),0)-1),0))</f>
        <v>20</v>
      </c>
      <c r="N32" s="247">
        <f ca="1">IF($E33=-1,0,IF(N$13&lt;=$L32,IF(ISERROR(MATCH(N$13,OFFSET($L32,1,0,ROW($L$164)-ROW($L32)-1),0)),ROW($L$164)-ROW($L32)-1,MATCH(N$13,OFFSET($L32,1,0,ROW($L$164)-ROW($L32)-1),0)-1),0))</f>
        <v>2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38644.18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0.5</v>
      </c>
      <c r="V32" s="242">
        <f t="shared" ca="1" si="9"/>
        <v>0.5</v>
      </c>
      <c r="W32" s="242">
        <f t="shared" ca="1" si="9"/>
        <v>0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customHeight="1" x14ac:dyDescent="0.2">
      <c r="D33" s="620"/>
      <c r="E33" s="239">
        <f ca="1">IF(ISERROR(E32),IF(1+COUNTIF($L$13:OFFSET(L32,-1,0),1)&lt;=MAX(QCI!$D$13:$D$24),1+COUNTIF($L$13:OFFSET(L32,-1,0),1),-1),0)</f>
        <v>0</v>
      </c>
      <c r="F33" s="239" t="str">
        <f ca="1">IF(AND($E33&lt;&gt;-1,$R32&gt;0),"F","")</f>
        <v>F</v>
      </c>
      <c r="G33" s="252" t="str">
        <f ca="1">IF(OR(R32=0,R32=""),"vazia",IF(AND(OR(ACOMPANHAMENTO="PLE",$Q32&lt;&gt;2),$E33=0),"calculada","--&gt;"))</f>
        <v>--&gt;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>
        <v>0.5</v>
      </c>
      <c r="V33" s="620">
        <v>0.5</v>
      </c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2$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19322.09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19322.09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0</v>
      </c>
      <c r="D35" s="242">
        <f ca="1">IF(AND($Q35=2,ACOMPANHAMENTO="BM"),D36,D37/$R35)</f>
        <v>0</v>
      </c>
      <c r="E35" s="239">
        <f ca="1">IF(A35&lt;=ORÇAMENTO.MáximoListaCrono,MATCH(A35,ORÇAMENTO.ListaCrono,0),NA())</f>
        <v>142</v>
      </c>
      <c r="F35" s="239" t="str">
        <f ca="1">IF(AND($E36&lt;&gt;-1,$R35&gt;0),"F","")</f>
        <v>F</v>
      </c>
      <c r="G35" s="243">
        <f ca="1">IF(OR(R35=0,R35=""),"Linha",IF(AND(OR(ACOMPANHAMENTO="PLE",$Q35&lt;&gt;2),$E36=0),"Linha",1-SUM(T35:AF35)))</f>
        <v>0</v>
      </c>
      <c r="H35" s="244" t="str">
        <f ca="1">IF($E36=0,OFFSET(ORÇAMENTO!O$15,$E35,0),IF($E36&lt;&gt;-1,OFFSET(QCI!$D$13,$E36,0),""))</f>
        <v>1.7.</v>
      </c>
      <c r="I35" s="245" t="str">
        <f ca="1">IF($E36=0,OFFSET(ORÇAMENTO!R$15,$E35,0),IF($E36&lt;&gt;-1,OFFSET(QCI!$G$13,$E36,0),""))</f>
        <v>PINTURA E REVESTIMENTO</v>
      </c>
      <c r="J35" s="245"/>
      <c r="K35" s="245"/>
      <c r="L35" s="246">
        <f ca="1">IF($E36=0,OFFSET(ORÇAMENTO!C$15,$E35,0),1)</f>
        <v>2</v>
      </c>
      <c r="M35" s="247">
        <f ca="1">IF($E36=-1,0,IF(M$13&lt;=$L35,IF(ISERROR(MATCH(M$13,OFFSET($L35,1,0,ROW($L$164)-ROW($L35)-1),0)),ROW($L$164)-ROW($L35)-1,MATCH(M$13,OFFSET($L35,1,0,ROW($L$164)-ROW($L35)-1),0)-1),0))</f>
        <v>17</v>
      </c>
      <c r="N35" s="247">
        <f ca="1">IF($E36=-1,0,IF(N$13&lt;=$L35,IF(ISERROR(MATCH(N$13,OFFSET($L35,1,0,ROW($L$164)-ROW($L35)-1),0)),ROW($L$164)-ROW($L35)-1,MATCH(N$13,OFFSET($L35,1,0,ROW($L$164)-ROW($L35)-1),0)-1),0))</f>
        <v>2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26959.72</v>
      </c>
      <c r="S35" s="249" t="s">
        <v>269</v>
      </c>
      <c r="T35" s="250">
        <f t="shared" ref="T35:AE35" ca="1" si="10">IF(AND($Q35=2,ACOMPANHAMENTO="BM"),T36,T37/$R35)</f>
        <v>0</v>
      </c>
      <c r="U35" s="242">
        <f t="shared" ca="1" si="10"/>
        <v>0</v>
      </c>
      <c r="V35" s="242">
        <f t="shared" ca="1" si="10"/>
        <v>0.5</v>
      </c>
      <c r="W35" s="242">
        <f t="shared" ca="1" si="10"/>
        <v>0.5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customHeight="1" x14ac:dyDescent="0.2">
      <c r="D36" s="620"/>
      <c r="E36" s="239">
        <f ca="1">IF(ISERROR(E35),IF(1+COUNTIF($L$13:OFFSET(L35,-1,0),1)&lt;=MAX(QCI!$D$13:$D$24),1+COUNTIF($L$13:OFFSET(L35,-1,0),1),-1),0)</f>
        <v>0</v>
      </c>
      <c r="F36" s="239" t="str">
        <f ca="1">IF(AND($E36&lt;&gt;-1,$R35&gt;0),"F","")</f>
        <v>F</v>
      </c>
      <c r="G36" s="252" t="str">
        <f ca="1">IF(OR(R35=0,R35=""),"vazia",IF(AND(OR(ACOMPANHAMENTO="PLE",$Q35&lt;&gt;2),$E36=0),"calculada","--&gt;"))</f>
        <v>--&gt;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>
        <v>0.5</v>
      </c>
      <c r="W36" s="620">
        <v>0.5</v>
      </c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2$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13479.86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13479.86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1.0000000000000002</v>
      </c>
      <c r="C38" s="239">
        <f ca="1">IF($Q38&lt;&gt;2,0,IF($R38=0,1,IF(E39&gt;0,OFFSET(QCI!$N$13,SUBSTITUTE(E39,".",""),0),OFFSET(ORÇAMENTO!$AB$15,CRONO!$E38,0))/$R38))</f>
        <v>0</v>
      </c>
      <c r="D38" s="242">
        <f ca="1">IF(AND($Q38=2,ACOMPANHAMENTO="BM"),D39,D40/$R38)</f>
        <v>0</v>
      </c>
      <c r="E38" s="239">
        <f ca="1">IF(A38&lt;=ORÇAMENTO.MáximoListaCrono,MATCH(A38,ORÇAMENTO.ListaCrono,0),NA())</f>
        <v>154</v>
      </c>
      <c r="F38" s="239" t="str">
        <f ca="1">IF(AND($E39&lt;&gt;-1,$R38&gt;0),"F","")</f>
        <v>F</v>
      </c>
      <c r="G38" s="243">
        <f ca="1">IF(OR(R38=0,R38=""),"Linha",IF(AND(OR(ACOMPANHAMENTO="PLE",$Q38&lt;&gt;2),$E39=0),"Linha",1-SUM(T38:AF38)))</f>
        <v>0</v>
      </c>
      <c r="H38" s="244" t="str">
        <f ca="1">IF($E39=0,OFFSET(ORÇAMENTO!O$15,$E38,0),IF($E39&lt;&gt;-1,OFFSET(QCI!$D$13,$E39,0),""))</f>
        <v>1.8.</v>
      </c>
      <c r="I38" s="245" t="str">
        <f ca="1">IF($E39=0,OFFSET(ORÇAMENTO!R$15,$E38,0),IF($E39&lt;&gt;-1,OFFSET(QCI!$G$13,$E39,0),""))</f>
        <v>SERVIÇOS HIDRAULICO</v>
      </c>
      <c r="J38" s="245"/>
      <c r="K38" s="245"/>
      <c r="L38" s="246">
        <f ca="1">IF($E39=0,OFFSET(ORÇAMENTO!C$15,$E38,0),1)</f>
        <v>2</v>
      </c>
      <c r="M38" s="247">
        <f ca="1">IF($E39=-1,0,IF(M$13&lt;=$L38,IF(ISERROR(MATCH(M$13,OFFSET($L38,1,0,ROW($L$164)-ROW($L38)-1),0)),ROW($L$164)-ROW($L38)-1,MATCH(M$13,OFFSET($L38,1,0,ROW($L$164)-ROW($L38)-1),0)-1),0))</f>
        <v>14</v>
      </c>
      <c r="N38" s="247">
        <f ca="1">IF($E39=-1,0,IF(N$13&lt;=$L38,IF(ISERROR(MATCH(N$13,OFFSET($L38,1,0,ROW($L$164)-ROW($L38)-1),0)),ROW($L$164)-ROW($L38)-1,MATCH(N$13,OFFSET($L38,1,0,ROW($L$164)-ROW($L38)-1),0)-1),0))</f>
        <v>2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13506.71</v>
      </c>
      <c r="S38" s="249" t="s">
        <v>269</v>
      </c>
      <c r="T38" s="250">
        <f t="shared" ref="T38:AE38" ca="1" si="11">IF(AND($Q38=2,ACOMPANHAMENTO="BM"),T39,T40/$R38)</f>
        <v>0</v>
      </c>
      <c r="U38" s="242">
        <f t="shared" ca="1" si="11"/>
        <v>0</v>
      </c>
      <c r="V38" s="242">
        <f t="shared" ca="1" si="11"/>
        <v>0.5</v>
      </c>
      <c r="W38" s="242">
        <f t="shared" ca="1" si="11"/>
        <v>0.5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customHeight="1" x14ac:dyDescent="0.2">
      <c r="D39" s="620"/>
      <c r="E39" s="239">
        <f ca="1">IF(ISERROR(E38),IF(1+COUNTIF($L$13:OFFSET(L38,-1,0),1)&lt;=MAX(QCI!$D$13:$D$24),1+COUNTIF($L$13:OFFSET(L38,-1,0),1),-1),0)</f>
        <v>0</v>
      </c>
      <c r="F39" s="239" t="str">
        <f ca="1">IF(AND($E39&lt;&gt;-1,$R38&gt;0),"F","")</f>
        <v>F</v>
      </c>
      <c r="G39" s="252" t="str">
        <f ca="1">IF(OR(R38=0,R38=""),"vazia",IF(AND(OR(ACOMPANHAMENTO="PLE",$Q38&lt;&gt;2),$E39=0),"calculada","--&gt;"))</f>
        <v>--&gt;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>
        <v>0.5</v>
      </c>
      <c r="W39" s="620">
        <v>0.5</v>
      </c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2$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6753.3549999999996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6753.3549999999996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0</v>
      </c>
      <c r="D41" s="242">
        <f ca="1">IF(AND($Q41=2,ACOMPANHAMENTO="BM"),D42,D43/$R41)</f>
        <v>0</v>
      </c>
      <c r="E41" s="239">
        <f ca="1">IF(A41&lt;=ORÇAMENTO.MáximoListaCrono,MATCH(A41,ORÇAMENTO.ListaCrono,0),NA())</f>
        <v>162</v>
      </c>
      <c r="F41" s="239" t="str">
        <f ca="1">IF(AND($E42&lt;&gt;-1,$R41&gt;0),"F","")</f>
        <v>F</v>
      </c>
      <c r="G41" s="243">
        <f ca="1">IF(OR(R41=0,R41=""),"Linha",IF(AND(OR(ACOMPANHAMENTO="PLE",$Q41&lt;&gt;2),$E42=0),"Linha",1-SUM(T41:AF41)))</f>
        <v>0</v>
      </c>
      <c r="H41" s="244" t="str">
        <f ca="1">IF($E42=0,OFFSET(ORÇAMENTO!O$15,$E41,0),IF($E42&lt;&gt;-1,OFFSET(QCI!$D$13,$E42,0),""))</f>
        <v>1.9.</v>
      </c>
      <c r="I41" s="245" t="str">
        <f ca="1">IF($E42=0,OFFSET(ORÇAMENTO!R$15,$E41,0),IF($E42&lt;&gt;-1,OFFSET(QCI!$G$13,$E42,0),""))</f>
        <v>ESQUADRIAS/BANCADA</v>
      </c>
      <c r="J41" s="245"/>
      <c r="K41" s="245"/>
      <c r="L41" s="246">
        <f ca="1">IF($E42=0,OFFSET(ORÇAMENTO!C$15,$E41,0),1)</f>
        <v>2</v>
      </c>
      <c r="M41" s="247">
        <f ca="1">IF($E42=-1,0,IF(M$13&lt;=$L41,IF(ISERROR(MATCH(M$13,OFFSET($L41,1,0,ROW($L$164)-ROW($L41)-1),0)),ROW($L$164)-ROW($L41)-1,MATCH(M$13,OFFSET($L41,1,0,ROW($L$164)-ROW($L41)-1),0)-1),0))</f>
        <v>11</v>
      </c>
      <c r="N41" s="247">
        <f ca="1">IF($E42=-1,0,IF(N$13&lt;=$L41,IF(ISERROR(MATCH(N$13,OFFSET($L41,1,0,ROW($L$164)-ROW($L41)-1),0)),ROW($L$164)-ROW($L41)-1,MATCH(N$13,OFFSET($L41,1,0,ROW($L$164)-ROW($L41)-1),0)-1),0))</f>
        <v>2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85143.61</v>
      </c>
      <c r="S41" s="249" t="s">
        <v>269</v>
      </c>
      <c r="T41" s="250">
        <f t="shared" ref="T41:AE41" ca="1" si="12">IF(AND($Q41=2,ACOMPANHAMENTO="BM"),T42,T43/$R41)</f>
        <v>0</v>
      </c>
      <c r="U41" s="242">
        <f t="shared" ca="1" si="12"/>
        <v>0</v>
      </c>
      <c r="V41" s="242">
        <f t="shared" ca="1" si="12"/>
        <v>0</v>
      </c>
      <c r="W41" s="242">
        <f t="shared" ca="1" si="12"/>
        <v>0</v>
      </c>
      <c r="X41" s="242">
        <f t="shared" ca="1" si="12"/>
        <v>0.5</v>
      </c>
      <c r="Y41" s="242">
        <f t="shared" ca="1" si="12"/>
        <v>0.5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customHeight="1" x14ac:dyDescent="0.2">
      <c r="D42" s="620"/>
      <c r="E42" s="239">
        <f ca="1">IF(ISERROR(E41),IF(1+COUNTIF($L$13:OFFSET(L41,-1,0),1)&lt;=MAX(QCI!$D$13:$D$24),1+COUNTIF($L$13:OFFSET(L41,-1,0),1),-1),0)</f>
        <v>0</v>
      </c>
      <c r="F42" s="239" t="str">
        <f ca="1">IF(AND($E42&lt;&gt;-1,$R41&gt;0),"F","")</f>
        <v>F</v>
      </c>
      <c r="G42" s="252" t="str">
        <f ca="1">IF(OR(R41=0,R41=""),"vazia",IF(AND(OR(ACOMPANHAMENTO="PLE",$Q41&lt;&gt;2),$E42=0),"calculada","--&gt;"))</f>
        <v>--&gt;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>
        <v>0.5</v>
      </c>
      <c r="Y42" s="620">
        <v>0.5</v>
      </c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2$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42571.805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42571.805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0.99999999999999967</v>
      </c>
      <c r="C44" s="239">
        <f ca="1">IF($Q44&lt;&gt;2,0,IF($R44=0,1,IF(E45&gt;0,OFFSET(QCI!$N$13,SUBSTITUTE(E45,".",""),0),OFFSET(ORÇAMENTO!$AB$15,CRONO!$E44,0))/$R44))</f>
        <v>0</v>
      </c>
      <c r="D44" s="242">
        <f ca="1">IF(AND($Q44=2,ACOMPANHAMENTO="BM"),D45,D46/$R44)</f>
        <v>0</v>
      </c>
      <c r="E44" s="239">
        <f ca="1">IF(A44&lt;=ORÇAMENTO.MáximoListaCrono,MATCH(A44,ORÇAMENTO.ListaCrono,0),NA())</f>
        <v>179</v>
      </c>
      <c r="F44" s="239" t="str">
        <f ca="1">IF(AND($E45&lt;&gt;-1,$R44&gt;0),"F","")</f>
        <v>F</v>
      </c>
      <c r="G44" s="243">
        <f ca="1">IF(OR(R44=0,R44=""),"Linha",IF(AND(OR(ACOMPANHAMENTO="PLE",$Q44&lt;&gt;2),$E45=0),"Linha",1-SUM(T44:AF44)))</f>
        <v>0</v>
      </c>
      <c r="H44" s="244" t="str">
        <f ca="1">IF($E45=0,OFFSET(ORÇAMENTO!O$15,$E44,0),IF($E45&lt;&gt;-1,OFFSET(QCI!$D$13,$E45,0),""))</f>
        <v>1.10.</v>
      </c>
      <c r="I44" s="245" t="str">
        <f ca="1">IF($E45=0,OFFSET(ORÇAMENTO!R$15,$E44,0),IF($E45&lt;&gt;-1,OFFSET(QCI!$G$13,$E45,0),""))</f>
        <v>INSTALAÇÕES SANITÁRIAS</v>
      </c>
      <c r="J44" s="245"/>
      <c r="K44" s="245"/>
      <c r="L44" s="246">
        <f ca="1">IF($E45=0,OFFSET(ORÇAMENTO!C$15,$E44,0),1)</f>
        <v>2</v>
      </c>
      <c r="M44" s="247">
        <f ca="1">IF($E45=-1,0,IF(M$13&lt;=$L44,IF(ISERROR(MATCH(M$13,OFFSET($L44,1,0,ROW($L$164)-ROW($L44)-1),0)),ROW($L$164)-ROW($L44)-1,MATCH(M$13,OFFSET($L44,1,0,ROW($L$164)-ROW($L44)-1),0)-1),0))</f>
        <v>8</v>
      </c>
      <c r="N44" s="247">
        <f ca="1">IF($E45=-1,0,IF(N$13&lt;=$L44,IF(ISERROR(MATCH(N$13,OFFSET($L44,1,0,ROW($L$164)-ROW($L44)-1),0)),ROW($L$164)-ROW($L44)-1,MATCH(N$13,OFFSET($L44,1,0,ROW($L$164)-ROW($L44)-1),0)-1),0))</f>
        <v>2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22347.88</v>
      </c>
      <c r="S44" s="249" t="s">
        <v>269</v>
      </c>
      <c r="T44" s="250">
        <f t="shared" ref="T44:AE44" ca="1" si="13">IF(AND($Q44=2,ACOMPANHAMENTO="BM"),T45,T46/$R44)</f>
        <v>0</v>
      </c>
      <c r="U44" s="242">
        <f t="shared" ca="1" si="13"/>
        <v>0</v>
      </c>
      <c r="V44" s="242">
        <f t="shared" ca="1" si="13"/>
        <v>0.5</v>
      </c>
      <c r="W44" s="242">
        <f t="shared" ca="1" si="13"/>
        <v>0.5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customHeight="1" x14ac:dyDescent="0.2">
      <c r="D45" s="620"/>
      <c r="E45" s="239">
        <f ca="1">IF(ISERROR(E44),IF(1+COUNTIF($L$13:OFFSET(L44,-1,0),1)&lt;=MAX(QCI!$D$13:$D$24),1+COUNTIF($L$13:OFFSET(L44,-1,0),1),-1),0)</f>
        <v>0</v>
      </c>
      <c r="F45" s="239" t="str">
        <f ca="1">IF(AND($E45&lt;&gt;-1,$R44&gt;0),"F","")</f>
        <v>F</v>
      </c>
      <c r="G45" s="252" t="str">
        <f ca="1">IF(OR(R44=0,R44=""),"vazia",IF(AND(OR(ACOMPANHAMENTO="PLE",$Q44&lt;&gt;2),$E45=0),"calculada","--&gt;"))</f>
        <v>--&gt;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>
        <v>0.5</v>
      </c>
      <c r="W45" s="620">
        <v>0.5</v>
      </c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2$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11173.94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11173.94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0.99999999999999989</v>
      </c>
      <c r="C47" s="239">
        <f ca="1">IF($Q47&lt;&gt;2,0,IF($R47=0,1,IF(E48&gt;0,OFFSET(QCI!$N$13,SUBSTITUTE(E48,".",""),0),OFFSET(ORÇAMENTO!$AB$15,CRONO!$E47,0))/$R47))</f>
        <v>0</v>
      </c>
      <c r="D47" s="242">
        <f ca="1">IF(AND($Q47=2,ACOMPANHAMENTO="BM"),D48,D49/$R47)</f>
        <v>0</v>
      </c>
      <c r="E47" s="239">
        <f ca="1">IF(A47&lt;=ORÇAMENTO.MáximoListaCrono,MATCH(A47,ORÇAMENTO.ListaCrono,0),NA())</f>
        <v>200</v>
      </c>
      <c r="F47" s="239" t="str">
        <f ca="1">IF(AND($E48&lt;&gt;-1,$R47&gt;0),"F","")</f>
        <v>F</v>
      </c>
      <c r="G47" s="243">
        <f ca="1">IF(OR(R47=0,R47=""),"Linha",IF(AND(OR(ACOMPANHAMENTO="PLE",$Q47&lt;&gt;2),$E48=0),"Linha",1-SUM(T47:AF47)))</f>
        <v>0</v>
      </c>
      <c r="H47" s="244" t="str">
        <f ca="1">IF($E48=0,OFFSET(ORÇAMENTO!O$15,$E47,0),IF($E48&lt;&gt;-1,OFFSET(QCI!$D$13,$E48,0),""))</f>
        <v>1.11.</v>
      </c>
      <c r="I47" s="245" t="str">
        <f ca="1">IF($E48=0,OFFSET(ORÇAMENTO!R$15,$E47,0),IF($E48&lt;&gt;-1,OFFSET(QCI!$G$13,$E48,0),""))</f>
        <v xml:space="preserve">SERVIÇOS ELETRICOS </v>
      </c>
      <c r="J47" s="245"/>
      <c r="K47" s="245"/>
      <c r="L47" s="246">
        <f ca="1">IF($E48=0,OFFSET(ORÇAMENTO!C$15,$E47,0),1)</f>
        <v>2</v>
      </c>
      <c r="M47" s="247">
        <f ca="1">IF($E48=-1,0,IF(M$13&lt;=$L47,IF(ISERROR(MATCH(M$13,OFFSET($L47,1,0,ROW($L$164)-ROW($L47)-1),0)),ROW($L$164)-ROW($L47)-1,MATCH(M$13,OFFSET($L47,1,0,ROW($L$164)-ROW($L47)-1),0)-1),0))</f>
        <v>5</v>
      </c>
      <c r="N47" s="247">
        <f ca="1">IF($E48=-1,0,IF(N$13&lt;=$L47,IF(ISERROR(MATCH(N$13,OFFSET($L47,1,0,ROW($L$164)-ROW($L47)-1),0)),ROW($L$164)-ROW($L47)-1,MATCH(N$13,OFFSET($L47,1,0,ROW($L$164)-ROW($L47)-1),0)-1),0))</f>
        <v>2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98230.82</v>
      </c>
      <c r="S47" s="249" t="s">
        <v>269</v>
      </c>
      <c r="T47" s="250">
        <f t="shared" ref="T47:AE47" ca="1" si="14">IF(AND($Q47=2,ACOMPANHAMENTO="BM"),T48,T49/$R47)</f>
        <v>0</v>
      </c>
      <c r="U47" s="242">
        <f t="shared" ca="1" si="14"/>
        <v>0</v>
      </c>
      <c r="V47" s="242">
        <f t="shared" ca="1" si="14"/>
        <v>0.5</v>
      </c>
      <c r="W47" s="242">
        <f t="shared" ca="1" si="14"/>
        <v>0.5</v>
      </c>
      <c r="X47" s="242">
        <f t="shared" ca="1" si="14"/>
        <v>0</v>
      </c>
      <c r="Y47" s="242">
        <f t="shared" ca="1" si="14"/>
        <v>0</v>
      </c>
      <c r="Z47" s="242">
        <f t="shared" ca="1" si="14"/>
        <v>0</v>
      </c>
      <c r="AA47" s="242">
        <f t="shared" ca="1" si="14"/>
        <v>0</v>
      </c>
      <c r="AB47" s="242">
        <f t="shared" ca="1" si="14"/>
        <v>0</v>
      </c>
      <c r="AC47" s="242">
        <f t="shared" ca="1" si="14"/>
        <v>0</v>
      </c>
      <c r="AD47" s="242">
        <f t="shared" ca="1" si="14"/>
        <v>0</v>
      </c>
      <c r="AE47" s="251">
        <f t="shared" ca="1" si="14"/>
        <v>0</v>
      </c>
    </row>
    <row r="48" spans="1:32" ht="12.75" customHeight="1" x14ac:dyDescent="0.2">
      <c r="D48" s="620"/>
      <c r="E48" s="239">
        <f ca="1">IF(ISERROR(E47),IF(1+COUNTIF($L$13:OFFSET(L47,-1,0),1)&lt;=MAX(QCI!$D$13:$D$24),1+COUNTIF($L$13:OFFSET(L47,-1,0),1),-1),0)</f>
        <v>0</v>
      </c>
      <c r="F48" s="239" t="str">
        <f ca="1">IF(AND($E48&lt;&gt;-1,$R47&gt;0),"F","")</f>
        <v>F</v>
      </c>
      <c r="G48" s="252" t="str">
        <f ca="1">IF(OR(R47=0,R47=""),"vazia",IF(AND(OR(ACOMPANHAMENTO="PLE",$Q47&lt;&gt;2),$E48=0),"calculada","--&gt;"))</f>
        <v>--&gt;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>
        <v>0.5</v>
      </c>
      <c r="W48" s="620">
        <v>0.5</v>
      </c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2$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49115.41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49115.41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0</v>
      </c>
      <c r="D50" s="242">
        <f ca="1">IF(AND($Q50=2,ACOMPANHAMENTO="BM"),D51,D52/$R50)</f>
        <v>0</v>
      </c>
      <c r="E50" s="239">
        <f ca="1">IF(A50&lt;=ORÇAMENTO.MáximoListaCrono,MATCH(A50,ORÇAMENTO.ListaCrono,0),NA())</f>
        <v>232</v>
      </c>
      <c r="F50" s="239" t="str">
        <f ca="1">IF(AND($E51&lt;&gt;-1,$R50&gt;0),"F","")</f>
        <v>F</v>
      </c>
      <c r="G50" s="243">
        <f ca="1">IF(OR(R50=0,R50=""),"Linha",IF(AND(OR(ACOMPANHAMENTO="PLE",$Q50&lt;&gt;2),$E51=0),"Linha",1-SUM(T50:AF50)))</f>
        <v>0</v>
      </c>
      <c r="H50" s="244" t="str">
        <f ca="1">IF($E51=0,OFFSET(ORÇAMENTO!O$15,$E50,0),IF($E51&lt;&gt;-1,OFFSET(QCI!$D$13,$E51,0),""))</f>
        <v>1.12.</v>
      </c>
      <c r="I50" s="245" t="str">
        <f ca="1">IF($E51=0,OFFSET(ORÇAMENTO!R$15,$E50,0),IF($E51&lt;&gt;-1,OFFSET(QCI!$G$13,$E51,0),""))</f>
        <v xml:space="preserve">REDE GÁS - </v>
      </c>
      <c r="J50" s="245"/>
      <c r="K50" s="245"/>
      <c r="L50" s="246">
        <f ca="1">IF($E51=0,OFFSET(ORÇAMENTO!C$15,$E50,0),1)</f>
        <v>2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113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6565.66</v>
      </c>
      <c r="S50" s="249" t="s">
        <v>269</v>
      </c>
      <c r="T50" s="250">
        <f t="shared" ref="T50:AE50" ca="1" si="15">IF(AND($Q50=2,ACOMPANHAMENTO="BM"),T51,T52/$R50)</f>
        <v>0</v>
      </c>
      <c r="U50" s="242">
        <f t="shared" ca="1" si="15"/>
        <v>0.5</v>
      </c>
      <c r="V50" s="242">
        <f t="shared" ca="1" si="15"/>
        <v>0.5</v>
      </c>
      <c r="W50" s="242">
        <f t="shared" ca="1" si="15"/>
        <v>0</v>
      </c>
      <c r="X50" s="242">
        <f t="shared" ca="1" si="15"/>
        <v>0</v>
      </c>
      <c r="Y50" s="242">
        <f t="shared" ca="1" si="15"/>
        <v>0</v>
      </c>
      <c r="Z50" s="242">
        <f t="shared" ca="1" si="15"/>
        <v>0</v>
      </c>
      <c r="AA50" s="242">
        <f t="shared" ca="1" si="15"/>
        <v>0</v>
      </c>
      <c r="AB50" s="242">
        <f t="shared" ca="1" si="15"/>
        <v>0</v>
      </c>
      <c r="AC50" s="242">
        <f t="shared" ca="1" si="15"/>
        <v>0</v>
      </c>
      <c r="AD50" s="242">
        <f t="shared" ca="1" si="15"/>
        <v>0</v>
      </c>
      <c r="AE50" s="251">
        <f t="shared" ca="1" si="15"/>
        <v>0</v>
      </c>
    </row>
    <row r="51" spans="1:32" ht="12.75" customHeight="1" x14ac:dyDescent="0.2">
      <c r="D51" s="620"/>
      <c r="E51" s="239">
        <f ca="1">IF(ISERROR(E50),IF(1+COUNTIF($L$13:OFFSET(L50,-1,0),1)&lt;=MAX(QCI!$D$13:$D$24),1+COUNTIF($L$13:OFFSET(L50,-1,0),1),-1),0)</f>
        <v>0</v>
      </c>
      <c r="F51" s="239" t="str">
        <f ca="1">IF(AND($E51&lt;&gt;-1,$R50&gt;0),"F","")</f>
        <v>F</v>
      </c>
      <c r="G51" s="252" t="str">
        <f ca="1">IF(OR(R50=0,R50=""),"vazia",IF(AND(OR(ACOMPANHAMENTO="PLE",$Q50&lt;&gt;2),$E51=0),"calculada","--&gt;"))</f>
        <v>--&gt;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>
        <v>0.5</v>
      </c>
      <c r="V51" s="620">
        <v>0.5</v>
      </c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2$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3282.83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3282.83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1</v>
      </c>
      <c r="D53" s="242">
        <f ca="1">IF(AND($Q53=2,ACOMPANHAMENTO="BM"),D54,D55/$R53)</f>
        <v>0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>
        <f ca="1">IF($E54=0,OFFSET(ORÇAMENTO!O$15,$E53,0),IF($E54&lt;&gt;-1,OFFSET(QCI!$D$13,$E54,0),""))</f>
        <v>2</v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0</v>
      </c>
      <c r="S53" s="249" t="s">
        <v>269</v>
      </c>
      <c r="T53" s="250">
        <f t="shared" ref="T53:AE53" ca="1" si="16">IF(AND($Q53=2,ACOMPANHAMENTO="BM"),T54,T55/$R53)</f>
        <v>0</v>
      </c>
      <c r="U53" s="242">
        <f t="shared" ca="1" si="16"/>
        <v>0</v>
      </c>
      <c r="V53" s="242">
        <f t="shared" ca="1" si="16"/>
        <v>0</v>
      </c>
      <c r="W53" s="242">
        <f t="shared" ca="1" si="16"/>
        <v>0</v>
      </c>
      <c r="X53" s="242">
        <f t="shared" ca="1" si="16"/>
        <v>0</v>
      </c>
      <c r="Y53" s="242">
        <f t="shared" ca="1" si="16"/>
        <v>0</v>
      </c>
      <c r="Z53" s="242">
        <f t="shared" ca="1" si="16"/>
        <v>0</v>
      </c>
      <c r="AA53" s="242">
        <f t="shared" ca="1" si="16"/>
        <v>0</v>
      </c>
      <c r="AB53" s="242">
        <f t="shared" ca="1" si="16"/>
        <v>0</v>
      </c>
      <c r="AC53" s="242">
        <f t="shared" ca="1" si="16"/>
        <v>0</v>
      </c>
      <c r="AD53" s="242">
        <f t="shared" ca="1" si="16"/>
        <v>0</v>
      </c>
      <c r="AE53" s="251">
        <f t="shared" ca="1" si="16"/>
        <v>0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2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1</v>
      </c>
      <c r="C56" s="239">
        <f ca="1">IF($Q56&lt;&gt;2,0,IF($R56=0,1,IF(E57&gt;0,OFFSET(QCI!$N$13,SUBSTITUTE(E57,".",""),0),OFFSET(ORÇAMENTO!$AB$15,CRONO!$E56,0))/$R56))</f>
        <v>1</v>
      </c>
      <c r="D56" s="242">
        <f ca="1">IF(AND($Q56=2,ACOMPANHAMENTO="BM"),D57,D58/$R56)</f>
        <v>0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>
        <f ca="1">IF($E57=0,OFFSET(ORÇAMENTO!O$15,$E56,0),IF($E57&lt;&gt;-1,OFFSET(QCI!$D$13,$E57,0),""))</f>
        <v>3</v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</v>
      </c>
      <c r="R56" s="248">
        <f ca="1">IF($E57=0,OFFSET(ORÇAMENTO!X$15,$E56,0),IF($E57&lt;&gt;-1,OFFSET(QCI!$O$13,$E57,0),""))</f>
        <v>0</v>
      </c>
      <c r="S56" s="249" t="s">
        <v>269</v>
      </c>
      <c r="T56" s="250">
        <f t="shared" ref="T56:AE56" ca="1" si="17">IF(AND($Q56=2,ACOMPANHAMENTO="BM"),T57,T58/$R56)</f>
        <v>0</v>
      </c>
      <c r="U56" s="242">
        <f t="shared" ca="1" si="17"/>
        <v>0</v>
      </c>
      <c r="V56" s="242">
        <f t="shared" ca="1" si="17"/>
        <v>0</v>
      </c>
      <c r="W56" s="242">
        <f t="shared" ca="1" si="17"/>
        <v>0</v>
      </c>
      <c r="X56" s="242">
        <f t="shared" ca="1" si="17"/>
        <v>0</v>
      </c>
      <c r="Y56" s="242">
        <f t="shared" ca="1" si="17"/>
        <v>0</v>
      </c>
      <c r="Z56" s="242">
        <f t="shared" ca="1" si="17"/>
        <v>0</v>
      </c>
      <c r="AA56" s="242">
        <f t="shared" ca="1" si="17"/>
        <v>0</v>
      </c>
      <c r="AB56" s="242">
        <f t="shared" ca="1" si="17"/>
        <v>0</v>
      </c>
      <c r="AC56" s="242">
        <f t="shared" ca="1" si="17"/>
        <v>0</v>
      </c>
      <c r="AD56" s="242">
        <f t="shared" ca="1" si="17"/>
        <v>0</v>
      </c>
      <c r="AE56" s="251">
        <f t="shared" ca="1" si="17"/>
        <v>0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3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1</v>
      </c>
      <c r="C59" s="239">
        <f ca="1">IF($Q59&lt;&gt;2,0,IF($R59=0,1,IF(E60&gt;0,OFFSET(QCI!$N$13,SUBSTITUTE(E60,".",""),0),OFFSET(ORÇAMENTO!$AB$15,CRONO!$E59,0))/$R59))</f>
        <v>1</v>
      </c>
      <c r="D59" s="242">
        <f ca="1">IF(AND($Q59=2,ACOMPANHAMENTO="BM"),D60,D61/$R59)</f>
        <v>0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>
        <f ca="1">IF($E60=0,OFFSET(ORÇAMENTO!O$15,$E59,0),IF($E60&lt;&gt;-1,OFFSET(QCI!$D$13,$E60,0),""))</f>
        <v>4</v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2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2</v>
      </c>
      <c r="R59" s="248">
        <f ca="1">IF($E60=0,OFFSET(ORÇAMENTO!X$15,$E59,0),IF($E60&lt;&gt;-1,OFFSET(QCI!$O$13,$E60,0),""))</f>
        <v>0</v>
      </c>
      <c r="S59" s="249" t="s">
        <v>269</v>
      </c>
      <c r="T59" s="250">
        <f t="shared" ref="T59:AE59" ca="1" si="18">IF(AND($Q59=2,ACOMPANHAMENTO="BM"),T60,T61/$R59)</f>
        <v>0</v>
      </c>
      <c r="U59" s="242">
        <f t="shared" ca="1" si="18"/>
        <v>0</v>
      </c>
      <c r="V59" s="242">
        <f t="shared" ca="1" si="18"/>
        <v>0</v>
      </c>
      <c r="W59" s="242">
        <f t="shared" ca="1" si="18"/>
        <v>0</v>
      </c>
      <c r="X59" s="242">
        <f t="shared" ca="1" si="18"/>
        <v>0</v>
      </c>
      <c r="Y59" s="242">
        <f t="shared" ca="1" si="18"/>
        <v>0</v>
      </c>
      <c r="Z59" s="242">
        <f t="shared" ca="1" si="18"/>
        <v>0</v>
      </c>
      <c r="AA59" s="242">
        <f t="shared" ca="1" si="18"/>
        <v>0</v>
      </c>
      <c r="AB59" s="242">
        <f t="shared" ca="1" si="18"/>
        <v>0</v>
      </c>
      <c r="AC59" s="242">
        <f t="shared" ca="1" si="18"/>
        <v>0</v>
      </c>
      <c r="AD59" s="242">
        <f t="shared" ca="1" si="18"/>
        <v>0</v>
      </c>
      <c r="AE59" s="251">
        <f t="shared" ca="1" si="18"/>
        <v>0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4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1</v>
      </c>
      <c r="C62" s="239">
        <f ca="1">IF($Q62&lt;&gt;2,0,IF($R62=0,1,IF(E63&gt;0,OFFSET(QCI!$N$13,SUBSTITUTE(E63,".",""),0),OFFSET(ORÇAMENTO!$AB$15,CRONO!$E62,0))/$R62))</f>
        <v>1</v>
      </c>
      <c r="D62" s="242">
        <f ca="1">IF(AND($Q62=2,ACOMPANHAMENTO="BM"),D63,D64/$R62)</f>
        <v>0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>
        <f ca="1">IF($E63=0,OFFSET(ORÇAMENTO!O$15,$E62,0),IF($E63&lt;&gt;-1,OFFSET(QCI!$D$13,$E63,0),""))</f>
        <v>5</v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2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2</v>
      </c>
      <c r="R62" s="248">
        <f ca="1">IF($E63=0,OFFSET(ORÇAMENTO!X$15,$E62,0),IF($E63&lt;&gt;-1,OFFSET(QCI!$O$13,$E63,0),""))</f>
        <v>0</v>
      </c>
      <c r="S62" s="249" t="s">
        <v>269</v>
      </c>
      <c r="T62" s="250">
        <f t="shared" ref="T62:AE62" ca="1" si="19">IF(AND($Q62=2,ACOMPANHAMENTO="BM"),T63,T64/$R62)</f>
        <v>0</v>
      </c>
      <c r="U62" s="242">
        <f t="shared" ca="1" si="19"/>
        <v>0</v>
      </c>
      <c r="V62" s="242">
        <f t="shared" ca="1" si="19"/>
        <v>0</v>
      </c>
      <c r="W62" s="242">
        <f t="shared" ca="1" si="19"/>
        <v>0</v>
      </c>
      <c r="X62" s="242">
        <f t="shared" ca="1" si="19"/>
        <v>0</v>
      </c>
      <c r="Y62" s="242">
        <f t="shared" ca="1" si="19"/>
        <v>0</v>
      </c>
      <c r="Z62" s="242">
        <f t="shared" ca="1" si="19"/>
        <v>0</v>
      </c>
      <c r="AA62" s="242">
        <f t="shared" ca="1" si="19"/>
        <v>0</v>
      </c>
      <c r="AB62" s="242">
        <f t="shared" ca="1" si="19"/>
        <v>0</v>
      </c>
      <c r="AC62" s="242">
        <f t="shared" ca="1" si="19"/>
        <v>0</v>
      </c>
      <c r="AD62" s="242">
        <f t="shared" ca="1" si="19"/>
        <v>0</v>
      </c>
      <c r="AE62" s="251">
        <f t="shared" ca="1" si="19"/>
        <v>0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5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1</v>
      </c>
      <c r="C65" s="239">
        <f ca="1">IF($Q65&lt;&gt;2,0,IF($R65=0,1,IF(E66&gt;0,OFFSET(QCI!$N$13,SUBSTITUTE(E66,".",""),0),OFFSET(ORÇAMENTO!$AB$15,CRONO!$E65,0))/$R65))</f>
        <v>1</v>
      </c>
      <c r="D65" s="242">
        <f ca="1">IF(AND($Q65=2,ACOMPANHAMENTO="BM"),D66,D67/$R65)</f>
        <v>0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>
        <f ca="1">IF($E66=0,OFFSET(ORÇAMENTO!O$15,$E65,0),IF($E66&lt;&gt;-1,OFFSET(QCI!$D$13,$E66,0),""))</f>
        <v>6</v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2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2</v>
      </c>
      <c r="R65" s="248">
        <f ca="1">IF($E66=0,OFFSET(ORÇAMENTO!X$15,$E65,0),IF($E66&lt;&gt;-1,OFFSET(QCI!$O$13,$E66,0),""))</f>
        <v>0</v>
      </c>
      <c r="S65" s="249" t="s">
        <v>269</v>
      </c>
      <c r="T65" s="250">
        <f t="shared" ref="T65:AE65" ca="1" si="20">IF(AND($Q65=2,ACOMPANHAMENTO="BM"),T66,T67/$R65)</f>
        <v>0</v>
      </c>
      <c r="U65" s="242">
        <f t="shared" ca="1" si="20"/>
        <v>0</v>
      </c>
      <c r="V65" s="242">
        <f t="shared" ca="1" si="20"/>
        <v>0</v>
      </c>
      <c r="W65" s="242">
        <f t="shared" ca="1" si="20"/>
        <v>0</v>
      </c>
      <c r="X65" s="242">
        <f t="shared" ca="1" si="20"/>
        <v>0</v>
      </c>
      <c r="Y65" s="242">
        <f t="shared" ca="1" si="20"/>
        <v>0</v>
      </c>
      <c r="Z65" s="242">
        <f t="shared" ca="1" si="20"/>
        <v>0</v>
      </c>
      <c r="AA65" s="242">
        <f t="shared" ca="1" si="20"/>
        <v>0</v>
      </c>
      <c r="AB65" s="242">
        <f t="shared" ca="1" si="20"/>
        <v>0</v>
      </c>
      <c r="AC65" s="242">
        <f t="shared" ca="1" si="20"/>
        <v>0</v>
      </c>
      <c r="AD65" s="242">
        <f t="shared" ca="1" si="20"/>
        <v>0</v>
      </c>
      <c r="AE65" s="251">
        <f t="shared" ca="1" si="20"/>
        <v>0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6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1</v>
      </c>
      <c r="C68" s="239">
        <f ca="1">IF($Q68&lt;&gt;2,0,IF($R68=0,1,IF(E69&gt;0,OFFSET(QCI!$N$13,SUBSTITUTE(E69,".",""),0),OFFSET(ORÇAMENTO!$AB$15,CRONO!$E68,0))/$R68))</f>
        <v>1</v>
      </c>
      <c r="D68" s="242">
        <f ca="1">IF(AND($Q68=2,ACOMPANHAMENTO="BM"),D69,D70/$R68)</f>
        <v>0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>
        <f ca="1">IF($E69=0,OFFSET(ORÇAMENTO!O$15,$E68,0),IF($E69&lt;&gt;-1,OFFSET(QCI!$D$13,$E69,0),""))</f>
        <v>7</v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2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2</v>
      </c>
      <c r="R68" s="248">
        <f ca="1">IF($E69=0,OFFSET(ORÇAMENTO!X$15,$E68,0),IF($E69&lt;&gt;-1,OFFSET(QCI!$O$13,$E69,0),""))</f>
        <v>0</v>
      </c>
      <c r="S68" s="249" t="s">
        <v>269</v>
      </c>
      <c r="T68" s="250">
        <f t="shared" ref="T68:AE68" ca="1" si="21">IF(AND($Q68=2,ACOMPANHAMENTO="BM"),T69,T70/$R68)</f>
        <v>0</v>
      </c>
      <c r="U68" s="242">
        <f t="shared" ca="1" si="21"/>
        <v>0</v>
      </c>
      <c r="V68" s="242">
        <f t="shared" ca="1" si="21"/>
        <v>0</v>
      </c>
      <c r="W68" s="242">
        <f t="shared" ca="1" si="21"/>
        <v>0</v>
      </c>
      <c r="X68" s="242">
        <f t="shared" ca="1" si="21"/>
        <v>0</v>
      </c>
      <c r="Y68" s="242">
        <f t="shared" ca="1" si="21"/>
        <v>0</v>
      </c>
      <c r="Z68" s="242">
        <f t="shared" ca="1" si="21"/>
        <v>0</v>
      </c>
      <c r="AA68" s="242">
        <f t="shared" ca="1" si="21"/>
        <v>0</v>
      </c>
      <c r="AB68" s="242">
        <f t="shared" ca="1" si="21"/>
        <v>0</v>
      </c>
      <c r="AC68" s="242">
        <f t="shared" ca="1" si="21"/>
        <v>0</v>
      </c>
      <c r="AD68" s="242">
        <f t="shared" ca="1" si="21"/>
        <v>0</v>
      </c>
      <c r="AE68" s="251">
        <f t="shared" ca="1" si="21"/>
        <v>0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7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1</v>
      </c>
      <c r="C71" s="239">
        <f ca="1">IF($Q71&lt;&gt;2,0,IF($R71=0,1,IF(E72&gt;0,OFFSET(QCI!$N$13,SUBSTITUTE(E72,".",""),0),OFFSET(ORÇAMENTO!$AB$15,CRONO!$E71,0))/$R71))</f>
        <v>1</v>
      </c>
      <c r="D71" s="242">
        <f ca="1">IF(AND($Q71=2,ACOMPANHAMENTO="BM"),D72,D73/$R71)</f>
        <v>0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>
        <f ca="1">IF($E72=0,OFFSET(ORÇAMENTO!O$15,$E71,0),IF($E72&lt;&gt;-1,OFFSET(QCI!$D$13,$E72,0),""))</f>
        <v>8</v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2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2</v>
      </c>
      <c r="R71" s="248">
        <f ca="1">IF($E72=0,OFFSET(ORÇAMENTO!X$15,$E71,0),IF($E72&lt;&gt;-1,OFFSET(QCI!$O$13,$E72,0),""))</f>
        <v>0</v>
      </c>
      <c r="S71" s="249" t="s">
        <v>269</v>
      </c>
      <c r="T71" s="250">
        <f t="shared" ref="T71:AE71" ca="1" si="22">IF(AND($Q71=2,ACOMPANHAMENTO="BM"),T72,T73/$R71)</f>
        <v>0</v>
      </c>
      <c r="U71" s="242">
        <f t="shared" ca="1" si="22"/>
        <v>0</v>
      </c>
      <c r="V71" s="242">
        <f t="shared" ca="1" si="22"/>
        <v>0</v>
      </c>
      <c r="W71" s="242">
        <f t="shared" ca="1" si="22"/>
        <v>0</v>
      </c>
      <c r="X71" s="242">
        <f t="shared" ca="1" si="22"/>
        <v>0</v>
      </c>
      <c r="Y71" s="242">
        <f t="shared" ca="1" si="22"/>
        <v>0</v>
      </c>
      <c r="Z71" s="242">
        <f t="shared" ca="1" si="22"/>
        <v>0</v>
      </c>
      <c r="AA71" s="242">
        <f t="shared" ca="1" si="22"/>
        <v>0</v>
      </c>
      <c r="AB71" s="242">
        <f t="shared" ca="1" si="22"/>
        <v>0</v>
      </c>
      <c r="AC71" s="242">
        <f t="shared" ca="1" si="22"/>
        <v>0</v>
      </c>
      <c r="AD71" s="242">
        <f t="shared" ca="1" si="22"/>
        <v>0</v>
      </c>
      <c r="AE71" s="251">
        <f t="shared" ca="1" si="22"/>
        <v>0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8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1</v>
      </c>
      <c r="C74" s="239">
        <f ca="1">IF($Q74&lt;&gt;2,0,IF($R74=0,1,IF(E75&gt;0,OFFSET(QCI!$N$13,SUBSTITUTE(E75,".",""),0),OFFSET(ORÇAMENTO!$AB$15,CRONO!$E74,0))/$R74))</f>
        <v>1</v>
      </c>
      <c r="D74" s="242">
        <f ca="1">IF(AND($Q74=2,ACOMPANHAMENTO="BM"),D75,D76/$R74)</f>
        <v>0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>
        <f ca="1">IF($E75=0,OFFSET(ORÇAMENTO!O$15,$E74,0),IF($E75&lt;&gt;-1,OFFSET(QCI!$D$13,$E75,0),""))</f>
        <v>9</v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2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2</v>
      </c>
      <c r="R74" s="248">
        <f ca="1">IF($E75=0,OFFSET(ORÇAMENTO!X$15,$E74,0),IF($E75&lt;&gt;-1,OFFSET(QCI!$O$13,$E75,0),""))</f>
        <v>0</v>
      </c>
      <c r="S74" s="249" t="s">
        <v>269</v>
      </c>
      <c r="T74" s="250">
        <f t="shared" ref="T74:AE74" ca="1" si="23">IF(AND($Q74=2,ACOMPANHAMENTO="BM"),T75,T76/$R74)</f>
        <v>0</v>
      </c>
      <c r="U74" s="242">
        <f t="shared" ca="1" si="23"/>
        <v>0</v>
      </c>
      <c r="V74" s="242">
        <f t="shared" ca="1" si="23"/>
        <v>0</v>
      </c>
      <c r="W74" s="242">
        <f t="shared" ca="1" si="23"/>
        <v>0</v>
      </c>
      <c r="X74" s="242">
        <f t="shared" ca="1" si="23"/>
        <v>0</v>
      </c>
      <c r="Y74" s="242">
        <f t="shared" ca="1" si="23"/>
        <v>0</v>
      </c>
      <c r="Z74" s="242">
        <f t="shared" ca="1" si="23"/>
        <v>0</v>
      </c>
      <c r="AA74" s="242">
        <f t="shared" ca="1" si="23"/>
        <v>0</v>
      </c>
      <c r="AB74" s="242">
        <f t="shared" ca="1" si="23"/>
        <v>0</v>
      </c>
      <c r="AC74" s="242">
        <f t="shared" ca="1" si="23"/>
        <v>0</v>
      </c>
      <c r="AD74" s="242">
        <f t="shared" ca="1" si="23"/>
        <v>0</v>
      </c>
      <c r="AE74" s="251">
        <f t="shared" ca="1" si="23"/>
        <v>0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9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1</v>
      </c>
      <c r="C77" s="239">
        <f ca="1">IF($Q77&lt;&gt;2,0,IF($R77=0,1,IF(E78&gt;0,OFFSET(QCI!$N$13,SUBSTITUTE(E78,".",""),0),OFFSET(ORÇAMENTO!$AB$15,CRONO!$E77,0))/$R77))</f>
        <v>1</v>
      </c>
      <c r="D77" s="242">
        <f ca="1">IF(AND($Q77=2,ACOMPANHAMENTO="BM"),D78,D79/$R77)</f>
        <v>0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>
        <f ca="1">IF($E78=0,OFFSET(ORÇAMENTO!O$15,$E77,0),IF($E78&lt;&gt;-1,OFFSET(QCI!$D$13,$E78,0),""))</f>
        <v>10</v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2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2</v>
      </c>
      <c r="R77" s="248">
        <f ca="1">IF($E78=0,OFFSET(ORÇAMENTO!X$15,$E77,0),IF($E78&lt;&gt;-1,OFFSET(QCI!$O$13,$E78,0),""))</f>
        <v>0</v>
      </c>
      <c r="S77" s="249" t="s">
        <v>269</v>
      </c>
      <c r="T77" s="250">
        <f t="shared" ref="T77:AE77" ca="1" si="24">IF(AND($Q77=2,ACOMPANHAMENTO="BM"),T78,T79/$R77)</f>
        <v>0</v>
      </c>
      <c r="U77" s="242">
        <f t="shared" ca="1" si="24"/>
        <v>0</v>
      </c>
      <c r="V77" s="242">
        <f t="shared" ca="1" si="24"/>
        <v>0</v>
      </c>
      <c r="W77" s="242">
        <f t="shared" ca="1" si="24"/>
        <v>0</v>
      </c>
      <c r="X77" s="242">
        <f t="shared" ca="1" si="24"/>
        <v>0</v>
      </c>
      <c r="Y77" s="242">
        <f t="shared" ca="1" si="24"/>
        <v>0</v>
      </c>
      <c r="Z77" s="242">
        <f t="shared" ca="1" si="24"/>
        <v>0</v>
      </c>
      <c r="AA77" s="242">
        <f t="shared" ca="1" si="24"/>
        <v>0</v>
      </c>
      <c r="AB77" s="242">
        <f t="shared" ca="1" si="24"/>
        <v>0</v>
      </c>
      <c r="AC77" s="242">
        <f t="shared" ca="1" si="24"/>
        <v>0</v>
      </c>
      <c r="AD77" s="242">
        <f t="shared" ca="1" si="24"/>
        <v>0</v>
      </c>
      <c r="AE77" s="251">
        <f t="shared" ca="1" si="24"/>
        <v>0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10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17" t="str">
        <f ca="1">"Total:    R$ "&amp;TEXT(Q165,"#.##0,00")</f>
        <v>Total:    R$ 599.993,04</v>
      </c>
      <c r="I165" s="717"/>
      <c r="J165" s="717"/>
      <c r="K165" s="291"/>
      <c r="Q165" s="292">
        <f ca="1">SUMIF(L12:L164,1,R12:R164)</f>
        <v>599993.04</v>
      </c>
      <c r="R165" s="293"/>
      <c r="S165" s="294" t="s">
        <v>281</v>
      </c>
      <c r="T165" s="295">
        <f t="shared" ref="T165:AE165" ca="1" si="53">ROUND(T169,2)/$Q$165</f>
        <v>9.2508123094227887E-2</v>
      </c>
      <c r="U165" s="296">
        <f t="shared" ca="1" si="53"/>
        <v>0.11802493575592142</v>
      </c>
      <c r="V165" s="296">
        <f t="shared" ca="1" si="53"/>
        <v>0.36944291887119218</v>
      </c>
      <c r="W165" s="296">
        <f t="shared" ca="1" si="53"/>
        <v>0.27811635948310331</v>
      </c>
      <c r="X165" s="296">
        <f t="shared" ca="1" si="53"/>
        <v>7.0953839731207544E-2</v>
      </c>
      <c r="Y165" s="296">
        <f t="shared" ca="1" si="53"/>
        <v>7.095382306434754E-2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17"/>
      <c r="I166" s="717"/>
      <c r="J166" s="717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55504.23</v>
      </c>
      <c r="U167" s="309">
        <f t="shared" ref="U167:AE167" ca="1" si="55">ROUND(U172,2)-ROUND(T172,2)</f>
        <v>70814.139999999985</v>
      </c>
      <c r="V167" s="309">
        <f t="shared" ca="1" si="55"/>
        <v>221663.18</v>
      </c>
      <c r="W167" s="309">
        <f t="shared" ca="1" si="55"/>
        <v>166867.88</v>
      </c>
      <c r="X167" s="309">
        <f t="shared" ca="1" si="55"/>
        <v>42571.81</v>
      </c>
      <c r="Y167" s="309">
        <f t="shared" ca="1" si="55"/>
        <v>42571.800000000047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55504.23</v>
      </c>
      <c r="U169" s="321">
        <f t="shared" ref="U169:AE169" ca="1" si="57">ROUND(U174,2)-ROUND(T174,2)</f>
        <v>70814.139999999985</v>
      </c>
      <c r="V169" s="321">
        <f t="shared" ca="1" si="57"/>
        <v>221663.18</v>
      </c>
      <c r="W169" s="321">
        <f t="shared" ca="1" si="57"/>
        <v>166867.88</v>
      </c>
      <c r="X169" s="321">
        <f t="shared" ca="1" si="57"/>
        <v>42571.81</v>
      </c>
      <c r="Y169" s="321">
        <f t="shared" ca="1" si="57"/>
        <v>42571.800000000047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9.2508123094227887E-2</v>
      </c>
      <c r="U170" s="296">
        <f t="shared" ref="U170:AE170" ca="1" si="58">ROUND(U174,2)/$Q$165</f>
        <v>0.21053305885014931</v>
      </c>
      <c r="V170" s="296">
        <f t="shared" ca="1" si="58"/>
        <v>0.57997597772134146</v>
      </c>
      <c r="W170" s="296">
        <f t="shared" ca="1" si="58"/>
        <v>0.85809233720444489</v>
      </c>
      <c r="X170" s="296">
        <f t="shared" ca="1" si="58"/>
        <v>0.92904617693565239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55504.225000000006</v>
      </c>
      <c r="U172" s="309">
        <f t="array" aca="1" ref="U172" ca="1">T172+SUM((OFFSET($B$13,1,0):OFFSET($B$164,-3,0))*IF(ISNUMBER(OFFSET(U$11,5,0):OFFSET(U$164,-1,0)),OFFSET(U$11,5,0):OFFSET(U$164,-1,0),0))</f>
        <v>126318.37000000001</v>
      </c>
      <c r="V172" s="309">
        <f t="array" aca="1" ref="V172" ca="1">U172+SUM((OFFSET($B$13,1,0):OFFSET($B$164,-3,0))*IF(ISNUMBER(OFFSET(V$11,5,0):OFFSET(V$164,-1,0)),OFFSET(V$11,5,0):OFFSET(V$164,-1,0),0))</f>
        <v>347981.54500000004</v>
      </c>
      <c r="W172" s="309">
        <f t="array" aca="1" ref="W172" ca="1">V172+SUM((OFFSET($B$13,1,0):OFFSET($B$164,-3,0))*IF(ISNUMBER(OFFSET(W$11,5,0):OFFSET(W$164,-1,0)),OFFSET(W$11,5,0):OFFSET(W$164,-1,0),0))</f>
        <v>514849.43000000005</v>
      </c>
      <c r="X172" s="309">
        <f t="array" aca="1" ref="X172" ca="1">W172+SUM((OFFSET($B$13,1,0):OFFSET($B$164,-3,0))*IF(ISNUMBER(OFFSET(X$11,5,0):OFFSET(X$164,-1,0)),OFFSET(X$11,5,0):OFFSET(X$164,-1,0),0))</f>
        <v>557421.2350000001</v>
      </c>
      <c r="Y172" s="309">
        <f t="array" aca="1" ref="Y172" ca="1">X172+SUM((OFFSET($B$13,1,0):OFFSET($B$164,-3,0))*IF(ISNUMBER(OFFSET(Y$11,5,0):OFFSET(Y$164,-1,0)),OFFSET(Y$11,5,0):OFFSET(Y$164,-1,0),0))</f>
        <v>599993.04000000015</v>
      </c>
      <c r="Z172" s="309">
        <f t="array" aca="1" ref="Z172" ca="1">Y172+SUM((OFFSET($B$13,1,0):OFFSET($B$164,-3,0))*IF(ISNUMBER(OFFSET(Z$11,5,0):OFFSET(Z$164,-1,0)),OFFSET(Z$11,5,0):OFFSET(Z$164,-1,0),0))</f>
        <v>599993.04000000015</v>
      </c>
      <c r="AA172" s="309">
        <f t="array" aca="1" ref="AA172" ca="1">Z172+SUM((OFFSET($B$13,1,0):OFFSET($B$164,-3,0))*IF(ISNUMBER(OFFSET(AA$11,5,0):OFFSET(AA$164,-1,0)),OFFSET(AA$11,5,0):OFFSET(AA$164,-1,0),0))</f>
        <v>599993.04000000015</v>
      </c>
      <c r="AB172" s="309">
        <f t="array" aca="1" ref="AB172" ca="1">AA172+SUM((OFFSET($B$13,1,0):OFFSET($B$164,-3,0))*IF(ISNUMBER(OFFSET(AB$11,5,0):OFFSET(AB$164,-1,0)),OFFSET(AB$11,5,0):OFFSET(AB$164,-1,0),0))</f>
        <v>599993.04000000015</v>
      </c>
      <c r="AC172" s="309">
        <f t="array" aca="1" ref="AC172" ca="1">AB172+SUM((OFFSET($B$13,1,0):OFFSET($B$164,-3,0))*IF(ISNUMBER(OFFSET(AC$11,5,0):OFFSET(AC$164,-1,0)),OFFSET(AC$11,5,0):OFFSET(AC$164,-1,0),0))</f>
        <v>599993.04000000015</v>
      </c>
      <c r="AD172" s="309">
        <f t="array" aca="1" ref="AD172" ca="1">AC172+SUM((OFFSET($B$13,1,0):OFFSET($B$164,-3,0))*IF(ISNUMBER(OFFSET(AD$11,5,0):OFFSET(AD$164,-1,0)),OFFSET(AD$11,5,0):OFFSET(AD$164,-1,0),0))</f>
        <v>599993.04000000015</v>
      </c>
      <c r="AE172" s="310">
        <f t="array" aca="1" ref="AE172" ca="1">AD172+SUM((OFFSET($B$13,1,0):OFFSET($B$164,-3,0))*IF(ISNUMBER(OFFSET(AE$11,5,0):OFFSET(AE$164,-1,0)),OFFSET(AE$11,5,0):OFFSET(AE$164,-1,0),0))</f>
        <v>599993.04000000015</v>
      </c>
      <c r="AF172" s="240">
        <f ca="1">AE172+SUMPRODUCT((OFFSET($C$13,1,0):OFFSET($C$164,-3,0))*IF(ISNUMBER(OFFSET(AF$11,5,0):OFFSET(AF$164,-1,0)),OFFSET(AF$11,5,0):OFFSET(AF$164,-1,0),0))</f>
        <v>599993.04000000015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55504.225000000006</v>
      </c>
      <c r="U174" s="321">
        <f t="shared" ref="U174:AF174" ca="1" si="60">T174+SUMIF($R$12:$R$164,"1$",U12:U164)</f>
        <v>126318.37000000001</v>
      </c>
      <c r="V174" s="321">
        <f t="shared" ca="1" si="60"/>
        <v>347981.54500000004</v>
      </c>
      <c r="W174" s="321">
        <f t="shared" ca="1" si="60"/>
        <v>514849.43000000005</v>
      </c>
      <c r="X174" s="321">
        <f t="shared" ca="1" si="60"/>
        <v>557421.2350000001</v>
      </c>
      <c r="Y174" s="321">
        <f t="shared" ca="1" si="60"/>
        <v>599993.04000000015</v>
      </c>
      <c r="Z174" s="321">
        <f t="shared" ca="1" si="60"/>
        <v>599993.04000000015</v>
      </c>
      <c r="AA174" s="321">
        <f t="shared" ca="1" si="60"/>
        <v>599993.04000000015</v>
      </c>
      <c r="AB174" s="321">
        <f t="shared" ca="1" si="60"/>
        <v>599993.04000000015</v>
      </c>
      <c r="AC174" s="321">
        <f t="shared" ca="1" si="60"/>
        <v>599993.04000000015</v>
      </c>
      <c r="AD174" s="321">
        <f t="shared" ca="1" si="60"/>
        <v>599993.04000000015</v>
      </c>
      <c r="AE174" s="322">
        <f t="shared" ca="1" si="60"/>
        <v>599993.04000000015</v>
      </c>
      <c r="AF174" s="240">
        <f t="shared" ca="1" si="60"/>
        <v>599993.04000000015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698" t="str">
        <f>Import.Município</f>
        <v>CEU AZUL - PR</v>
      </c>
      <c r="I176" s="698"/>
      <c r="J176" s="698"/>
      <c r="K176" s="698"/>
      <c r="L176" s="698"/>
      <c r="M176" s="698"/>
      <c r="N176" s="698"/>
      <c r="O176" s="698"/>
      <c r="P176" s="698"/>
      <c r="Q176" s="698"/>
      <c r="R176" s="698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GIAN CARLOS BORTOLINI VALLI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21">
        <f>DADOS!$F$25</f>
        <v>45131</v>
      </c>
      <c r="I179" s="721"/>
      <c r="J179" s="721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PR-163755/D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  <mergeCell ref="F8:F11"/>
    <mergeCell ref="H8:I8"/>
    <mergeCell ref="G7:G9"/>
    <mergeCell ref="H165:J166"/>
    <mergeCell ref="G12:G13"/>
    <mergeCell ref="H12:H13"/>
    <mergeCell ref="I12:I13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SERVIÇOS PRELIMINARES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INFRAESTRUTURA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SUPRAESTRUTURA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ALVENARIA/ PAREDES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PISO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7">
        <f t="shared" ca="1" si="1"/>
        <v>7</v>
      </c>
      <c r="C21" s="328" t="str">
        <f ca="1">IF(AUTOEVENTO="Manual",IF($B21&lt;&gt;1,OFFSET(EVENTOS!$D$14,$B21,0),0),IF(B21&lt;=MAX(CÁLCULO!$M$15:$M$266),VLOOKUP($B21,CÁLCULO!$M$15:$N$266,2,FALSE),0))</f>
        <v>COBERTURA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7">
        <f t="shared" ca="1" si="1"/>
        <v>8</v>
      </c>
      <c r="C22" s="328" t="str">
        <f ca="1">IF(AUTOEVENTO="Manual",IF($B22&lt;&gt;1,OFFSET(EVENTOS!$D$14,$B22,0),0),IF(B22&lt;=MAX(CÁLCULO!$M$15:$M$266),VLOOKUP($B22,CÁLCULO!$M$15:$N$266,2,FALSE),0))</f>
        <v>PINTURA E REVESTIMENTO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7">
        <f t="shared" ca="1" si="1"/>
        <v>9</v>
      </c>
      <c r="C23" s="328" t="str">
        <f ca="1">IF(AUTOEVENTO="Manual",IF($B23&lt;&gt;1,OFFSET(EVENTOS!$D$14,$B23,0),0),IF(B23&lt;=MAX(CÁLCULO!$M$15:$M$266),VLOOKUP($B23,CÁLCULO!$M$15:$N$266,2,FALSE),0))</f>
        <v>SERVIÇOS HIDRAULICO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>F</v>
      </c>
      <c r="B24" s="327">
        <f t="shared" ca="1" si="1"/>
        <v>10</v>
      </c>
      <c r="C24" s="328" t="str">
        <f ca="1">IF(AUTOEVENTO="Manual",IF($B24&lt;&gt;1,OFFSET(EVENTOS!$D$14,$B24,0),0),IF(B24&lt;=MAX(CÁLCULO!$M$15:$M$266),VLOOKUP($B24,CÁLCULO!$M$15:$N$266,2,FALSE),0))</f>
        <v>ESQUADRIAS/BANCADA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>F</v>
      </c>
      <c r="B25" s="327">
        <f t="shared" ca="1" si="1"/>
        <v>11</v>
      </c>
      <c r="C25" s="328" t="str">
        <f ca="1">IF(AUTOEVENTO="Manual",IF($B25&lt;&gt;1,OFFSET(EVENTOS!$D$14,$B25,0),0),IF(B25&lt;=MAX(CÁLCULO!$M$15:$M$266),VLOOKUP($B25,CÁLCULO!$M$15:$N$266,2,FALSE),0))</f>
        <v>INSTALAÇÕES SANITÁRIAS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>F</v>
      </c>
      <c r="B26" s="327">
        <f t="shared" ca="1" si="1"/>
        <v>12</v>
      </c>
      <c r="C26" s="328" t="str">
        <f ca="1">IF(AUTOEVENTO="Manual",IF($B26&lt;&gt;1,OFFSET(EVENTOS!$D$14,$B26,0),0),IF(B26&lt;=MAX(CÁLCULO!$M$15:$M$266),VLOOKUP($B26,CÁLCULO!$M$15:$N$266,2,FALSE),0))</f>
        <v xml:space="preserve">SERVIÇOS ELETRICOS 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>F</v>
      </c>
      <c r="B27" s="327">
        <f t="shared" ca="1" si="1"/>
        <v>13</v>
      </c>
      <c r="C27" s="328" t="str">
        <f ca="1">IF(AUTOEVENTO="Manual",IF($B27&lt;&gt;1,OFFSET(EVENTOS!$D$14,$B27,0),0),IF(B27&lt;=MAX(CÁLCULO!$M$15:$M$266),VLOOKUP($B27,CÁLCULO!$M$15:$N$266,2,FALSE),0))</f>
        <v xml:space="preserve">REDE GÁS - 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28" t="e">
        <f ca="1">IF(AUTOEVENTO="Manual",IF($B1&lt;&gt;1,OFFSET(EVENTOS!$D$14,$B1,0),0),IF(B1&lt;=MAX(CÁLCULO!$M$15:$M$266),VLOOKUP($B1,CÁLCULO!$M$15:$N$266,2,FALSE),0))</f>
        <v>#REF!</v>
      </c>
      <c r="D1" s="728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64" t="s">
        <v>139</v>
      </c>
      <c r="AE3" s="664"/>
      <c r="AF3" s="664"/>
    </row>
    <row r="4" spans="1:33" ht="15.75" x14ac:dyDescent="0.2">
      <c r="B4" s="103"/>
      <c r="C4" s="103"/>
      <c r="H4" s="107" t="str">
        <f>import.recurso</f>
        <v>(SELECIONAR)</v>
      </c>
      <c r="AD4" s="665" t="s">
        <v>142</v>
      </c>
      <c r="AE4" s="665"/>
      <c r="AF4" s="665"/>
    </row>
    <row r="6" spans="1:33" x14ac:dyDescent="0.2">
      <c r="B6" s="268" t="s">
        <v>439</v>
      </c>
      <c r="C6" s="344"/>
      <c r="D6" s="270" t="s">
        <v>440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29" t="str">
        <f>IF(TIPOORCAMENTO="Licitado","Nº CTEF","")</f>
        <v/>
      </c>
      <c r="AF6" s="729"/>
    </row>
    <row r="7" spans="1:33" x14ac:dyDescent="0.2">
      <c r="B7" s="715">
        <f>Import.CR</f>
        <v>0</v>
      </c>
      <c r="C7" s="715"/>
      <c r="D7" s="274">
        <f>Import.SICONV</f>
        <v>0</v>
      </c>
      <c r="E7" s="55"/>
      <c r="H7" s="725" t="str">
        <f>Import.Proponente</f>
        <v>MUNICIPIO DE CÉU AZUL</v>
      </c>
      <c r="I7" s="725"/>
      <c r="J7" s="725"/>
      <c r="K7" s="725"/>
      <c r="L7" s="725"/>
      <c r="M7" s="725"/>
      <c r="N7" s="725"/>
      <c r="O7" s="715" t="str">
        <f>Import.Apelido</f>
        <v>OBRA DE MODERNIZAÇÃO DO CENTRO COMUNITARIO DE NOVA UNIÃO</v>
      </c>
      <c r="P7" s="715"/>
      <c r="Q7" s="715"/>
      <c r="R7" s="715"/>
      <c r="S7" s="715"/>
      <c r="T7" s="715"/>
      <c r="U7" s="715"/>
      <c r="V7" s="715">
        <f>IF(TIPOORCAMENTO="Licitado",Import.empresa,Import.DescLote)</f>
        <v>0</v>
      </c>
      <c r="W7" s="715"/>
      <c r="X7" s="715"/>
      <c r="Y7" s="715"/>
      <c r="Z7" s="715"/>
      <c r="AA7" s="715"/>
      <c r="AB7" s="715"/>
      <c r="AC7" s="715"/>
      <c r="AD7" s="715"/>
      <c r="AE7" s="733" t="str">
        <f>IF(TIPOORCAMENTO="Licitado",Import.CTEF,"")</f>
        <v/>
      </c>
      <c r="AF7" s="733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31">
        <v>1</v>
      </c>
      <c r="K9" s="731"/>
      <c r="M9" s="348" t="s">
        <v>282</v>
      </c>
      <c r="N9" s="732" t="str">
        <f ca="1">TEXT(IF(PLE.Medicao=1,Import.DataInicioObra,OFFSET($H$68,0,1+(PLE.Medicao-$I$69)*2-2)+1),"dd/mm/aaaa")&amp;" a "&amp;TEXT(OFFSET($H$68,0,1+(PLE.Medicao-$I$69)*2),"dd/mm/aaaa")</f>
        <v>00/01/1900 a 00/01/1900</v>
      </c>
      <c r="O9" s="732"/>
      <c r="P9" s="732"/>
      <c r="Q9" s="732"/>
      <c r="R9" s="732"/>
      <c r="S9" s="732"/>
      <c r="T9" s="732"/>
      <c r="U9" s="349"/>
      <c r="X9" s="348" t="s">
        <v>294</v>
      </c>
      <c r="Y9" s="734">
        <f ca="1">OFFSET($I$69,1+8*(ROUNDUP(($J$9-0)/((COLUMN($AG$14)-COLUMN($G$14)-1)/25*12),0)-1),ROUNDDOWN((($J$9-0)-OFFSET($I$69,8*(ROUNDUP(($J$9-0)/((COLUMN($AG$14)-COLUMN($G$14)-1)/25*12),0)-1),0))*(2+1/12),0))</f>
        <v>0</v>
      </c>
      <c r="Z9" s="734"/>
      <c r="AD9" s="348" t="s">
        <v>295</v>
      </c>
      <c r="AE9" s="734">
        <f ca="1">OFFSET($I$69,3+8*(ROUNDUP(($J$9-0)/((COLUMN($AG$14)-COLUMN($G$14)-1)/25*12),0)-1),ROUNDDOWN((($J$9-0)-OFFSET($I$69,8*(ROUNDUP(($J$9-0)/((COLUMN($AG$14)-COLUMN($G$14)-1)/25*12),0)-1),0))*(2+1/12),0))</f>
        <v>0</v>
      </c>
      <c r="AF9" s="734"/>
    </row>
    <row r="11" spans="1:33" ht="65.25" customHeight="1" x14ac:dyDescent="0.2">
      <c r="A11" s="331" t="s">
        <v>289</v>
      </c>
      <c r="C11" s="730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30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37" t="s">
        <v>268</v>
      </c>
      <c r="D15" s="737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28" t="str">
        <f ca="1">IF(AUTOEVENTO="Manual",IF($B16&lt;&gt;1,OFFSET(EVENTOS!$D$14,$B16,0),0),IF(B16&lt;=MAX(CÁLCULO!$M$15:$M$266),VLOOKUP($B16,CÁLCULO!$M$15:$N$266,2,FALSE),0))</f>
        <v>SERVIÇOS PRELIMINARES</v>
      </c>
      <c r="D16" s="728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28" t="str">
        <f ca="1">IF(AUTOEVENTO="Manual",IF($B17&lt;&gt;1,OFFSET(EVENTOS!$D$14,$B17,0),0),IF(B17&lt;=MAX(CÁLCULO!$M$15:$M$266),VLOOKUP($B17,CÁLCULO!$M$15:$N$266,2,FALSE),0))</f>
        <v>INFRAESTRUTURA</v>
      </c>
      <c r="D17" s="728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28" t="str">
        <f ca="1">IF(AUTOEVENTO="Manual",IF($B18&lt;&gt;1,OFFSET(EVENTOS!$D$14,$B18,0),0),IF(B18&lt;=MAX(CÁLCULO!$M$15:$M$266),VLOOKUP($B18,CÁLCULO!$M$15:$N$266,2,FALSE),0))</f>
        <v>SUPRAESTRUTURA</v>
      </c>
      <c r="D18" s="728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28" t="str">
        <f ca="1">IF(AUTOEVENTO="Manual",IF($B19&lt;&gt;1,OFFSET(EVENTOS!$D$14,$B19,0),0),IF(B19&lt;=MAX(CÁLCULO!$M$15:$M$266),VLOOKUP($B19,CÁLCULO!$M$15:$N$266,2,FALSE),0))</f>
        <v>ALVENARIA/ PAREDES</v>
      </c>
      <c r="D19" s="728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28" t="str">
        <f ca="1">IF(AUTOEVENTO="Manual",IF($B20&lt;&gt;1,OFFSET(EVENTOS!$D$14,$B20,0),0),IF(B20&lt;=MAX(CÁLCULO!$M$15:$M$266),VLOOKUP($B20,CÁLCULO!$M$15:$N$266,2,FALSE),0))</f>
        <v>PISO</v>
      </c>
      <c r="D20" s="728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7">
        <f t="shared" ca="1" si="1"/>
        <v>7</v>
      </c>
      <c r="C21" s="728" t="str">
        <f ca="1">IF(AUTOEVENTO="Manual",IF($B21&lt;&gt;1,OFFSET(EVENTOS!$D$14,$B21,0),0),IF(B21&lt;=MAX(CÁLCULO!$M$15:$M$266),VLOOKUP($B21,CÁLCULO!$M$15:$N$266,2,FALSE),0))</f>
        <v>COBERTURA</v>
      </c>
      <c r="D21" s="728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7">
        <f t="shared" ca="1" si="1"/>
        <v>8</v>
      </c>
      <c r="C22" s="728" t="str">
        <f ca="1">IF(AUTOEVENTO="Manual",IF($B22&lt;&gt;1,OFFSET(EVENTOS!$D$14,$B22,0),0),IF(B22&lt;=MAX(CÁLCULO!$M$15:$M$266),VLOOKUP($B22,CÁLCULO!$M$15:$N$266,2,FALSE),0))</f>
        <v>PINTURA E REVESTIMENTO</v>
      </c>
      <c r="D22" s="728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7">
        <f t="shared" ca="1" si="1"/>
        <v>9</v>
      </c>
      <c r="C23" s="728" t="str">
        <f ca="1">IF(AUTOEVENTO="Manual",IF($B23&lt;&gt;1,OFFSET(EVENTOS!$D$14,$B23,0),0),IF(B23&lt;=MAX(CÁLCULO!$M$15:$M$266),VLOOKUP($B23,CÁLCULO!$M$15:$N$266,2,FALSE),0))</f>
        <v>SERVIÇOS HIDRAULICO</v>
      </c>
      <c r="D23" s="728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>F</v>
      </c>
      <c r="B24" s="327">
        <f t="shared" ca="1" si="1"/>
        <v>10</v>
      </c>
      <c r="C24" s="728" t="str">
        <f ca="1">IF(AUTOEVENTO="Manual",IF($B24&lt;&gt;1,OFFSET(EVENTOS!$D$14,$B24,0),0),IF(B24&lt;=MAX(CÁLCULO!$M$15:$M$266),VLOOKUP($B24,CÁLCULO!$M$15:$N$266,2,FALSE),0))</f>
        <v>ESQUADRIAS/BANCADA</v>
      </c>
      <c r="D24" s="728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>F</v>
      </c>
      <c r="B25" s="327">
        <f t="shared" ca="1" si="1"/>
        <v>11</v>
      </c>
      <c r="C25" s="728" t="str">
        <f ca="1">IF(AUTOEVENTO="Manual",IF($B25&lt;&gt;1,OFFSET(EVENTOS!$D$14,$B25,0),0),IF(B25&lt;=MAX(CÁLCULO!$M$15:$M$266),VLOOKUP($B25,CÁLCULO!$M$15:$N$266,2,FALSE),0))</f>
        <v>INSTALAÇÕES SANITÁRIAS</v>
      </c>
      <c r="D25" s="728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>F</v>
      </c>
      <c r="B26" s="327">
        <f t="shared" ca="1" si="1"/>
        <v>12</v>
      </c>
      <c r="C26" s="728" t="str">
        <f ca="1">IF(AUTOEVENTO="Manual",IF($B26&lt;&gt;1,OFFSET(EVENTOS!$D$14,$B26,0),0),IF(B26&lt;=MAX(CÁLCULO!$M$15:$M$266),VLOOKUP($B26,CÁLCULO!$M$15:$N$266,2,FALSE),0))</f>
        <v xml:space="preserve">SERVIÇOS ELETRICOS </v>
      </c>
      <c r="D26" s="728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>F</v>
      </c>
      <c r="B27" s="327">
        <f t="shared" ca="1" si="1"/>
        <v>13</v>
      </c>
      <c r="C27" s="728" t="str">
        <f ca="1">IF(AUTOEVENTO="Manual",IF($B27&lt;&gt;1,OFFSET(EVENTOS!$D$14,$B27,0),0),IF(B27&lt;=MAX(CÁLCULO!$M$15:$M$266),VLOOKUP($B27,CÁLCULO!$M$15:$N$266,2,FALSE),0))</f>
        <v xml:space="preserve">REDE GÁS - </v>
      </c>
      <c r="D27" s="728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28">
        <f ca="1">IF(AUTOEVENTO="Manual",IF($B28&lt;&gt;1,OFFSET(EVENTOS!$D$14,$B28,0),0),IF(B28&lt;=MAX(CÁLCULO!$M$15:$M$266),VLOOKUP($B28,CÁLCULO!$M$15:$N$266,2,FALSE),0))</f>
        <v>0</v>
      </c>
      <c r="D28" s="728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28">
        <f ca="1">IF(AUTOEVENTO="Manual",IF($B29&lt;&gt;1,OFFSET(EVENTOS!$D$14,$B29,0),0),IF(B29&lt;=MAX(CÁLCULO!$M$15:$M$266),VLOOKUP($B29,CÁLCULO!$M$15:$N$266,2,FALSE),0))</f>
        <v>0</v>
      </c>
      <c r="D29" s="728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28">
        <f ca="1">IF(AUTOEVENTO="Manual",IF($B30&lt;&gt;1,OFFSET(EVENTOS!$D$14,$B30,0),0),IF(B30&lt;=MAX(CÁLCULO!$M$15:$M$266),VLOOKUP($B30,CÁLCULO!$M$15:$N$266,2,FALSE),0))</f>
        <v>0</v>
      </c>
      <c r="D30" s="728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28">
        <f ca="1">IF(AUTOEVENTO="Manual",IF($B31&lt;&gt;1,OFFSET(EVENTOS!$D$14,$B31,0),0),IF(B31&lt;=MAX(CÁLCULO!$M$15:$M$266),VLOOKUP($B31,CÁLCULO!$M$15:$N$266,2,FALSE),0))</f>
        <v>0</v>
      </c>
      <c r="D31" s="728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28">
        <f ca="1">IF(AUTOEVENTO="Manual",IF($B32&lt;&gt;1,OFFSET(EVENTOS!$D$14,$B32,0),0),IF(B32&lt;=MAX(CÁLCULO!$M$15:$M$266),VLOOKUP($B32,CÁLCULO!$M$15:$N$266,2,FALSE),0))</f>
        <v>0</v>
      </c>
      <c r="D32" s="728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28">
        <f ca="1">IF(AUTOEVENTO="Manual",IF($B33&lt;&gt;1,OFFSET(EVENTOS!$D$14,$B33,0),0),IF(B33&lt;=MAX(CÁLCULO!$M$15:$M$266),VLOOKUP($B33,CÁLCULO!$M$15:$N$266,2,FALSE),0))</f>
        <v>0</v>
      </c>
      <c r="D33" s="728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28">
        <f ca="1">IF(AUTOEVENTO="Manual",IF($B34&lt;&gt;1,OFFSET(EVENTOS!$D$14,$B34,0),0),IF(B34&lt;=MAX(CÁLCULO!$M$15:$M$266),VLOOKUP($B34,CÁLCULO!$M$15:$N$266,2,FALSE),0))</f>
        <v>0</v>
      </c>
      <c r="D34" s="728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28">
        <f ca="1">IF(AUTOEVENTO="Manual",IF($B35&lt;&gt;1,OFFSET(EVENTOS!$D$14,$B35,0),0),IF(B35&lt;=MAX(CÁLCULO!$M$15:$M$266),VLOOKUP($B35,CÁLCULO!$M$15:$N$266,2,FALSE),0))</f>
        <v>0</v>
      </c>
      <c r="D35" s="728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28">
        <f ca="1">IF(AUTOEVENTO="Manual",IF($B36&lt;&gt;1,OFFSET(EVENTOS!$D$14,$B36,0),0),IF(B36&lt;=MAX(CÁLCULO!$M$15:$M$266),VLOOKUP($B36,CÁLCULO!$M$15:$N$266,2,FALSE),0))</f>
        <v>0</v>
      </c>
      <c r="D36" s="728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28">
        <f ca="1">IF(AUTOEVENTO="Manual",IF($B37&lt;&gt;1,OFFSET(EVENTOS!$D$14,$B37,0),0),IF(B37&lt;=MAX(CÁLCULO!$M$15:$M$266),VLOOKUP($B37,CÁLCULO!$M$15:$N$266,2,FALSE),0))</f>
        <v>0</v>
      </c>
      <c r="D37" s="728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28">
        <f ca="1">IF(AUTOEVENTO="Manual",IF($B38&lt;&gt;1,OFFSET(EVENTOS!$D$14,$B38,0),0),IF(B38&lt;=MAX(CÁLCULO!$M$15:$M$266),VLOOKUP($B38,CÁLCULO!$M$15:$N$266,2,FALSE),0))</f>
        <v>0</v>
      </c>
      <c r="D38" s="728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28">
        <f ca="1">IF(AUTOEVENTO="Manual",IF($B39&lt;&gt;1,OFFSET(EVENTOS!$D$14,$B39,0),0),IF(B39&lt;=MAX(CÁLCULO!$M$15:$M$266),VLOOKUP($B39,CÁLCULO!$M$15:$N$266,2,FALSE),0))</f>
        <v>0</v>
      </c>
      <c r="D39" s="728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28">
        <f ca="1">IF(AUTOEVENTO="Manual",IF($B40&lt;&gt;1,OFFSET(EVENTOS!$D$14,$B40,0),0),IF(B40&lt;=MAX(CÁLCULO!$M$15:$M$266),VLOOKUP($B40,CÁLCULO!$M$15:$N$266,2,FALSE),0))</f>
        <v>0</v>
      </c>
      <c r="D40" s="728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28">
        <f ca="1">IF(AUTOEVENTO="Manual",IF($B41&lt;&gt;1,OFFSET(EVENTOS!$D$14,$B41,0),0),IF(B41&lt;=MAX(CÁLCULO!$M$15:$M$266),VLOOKUP($B41,CÁLCULO!$M$15:$N$266,2,FALSE),0))</f>
        <v>0</v>
      </c>
      <c r="D41" s="728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28">
        <f ca="1">IF(AUTOEVENTO="Manual",IF($B42&lt;&gt;1,OFFSET(EVENTOS!$D$14,$B42,0),0),IF(B42&lt;=MAX(CÁLCULO!$M$15:$M$266),VLOOKUP($B42,CÁLCULO!$M$15:$N$266,2,FALSE),0))</f>
        <v>0</v>
      </c>
      <c r="D42" s="728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28">
        <f ca="1">IF(AUTOEVENTO="Manual",IF($B43&lt;&gt;1,OFFSET(EVENTOS!$D$14,$B43,0),0),IF(B43&lt;=MAX(CÁLCULO!$M$15:$M$266),VLOOKUP($B43,CÁLCULO!$M$15:$N$266,2,FALSE),0))</f>
        <v>0</v>
      </c>
      <c r="D43" s="728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28">
        <f ca="1">IF(AUTOEVENTO="Manual",IF($B44&lt;&gt;1,OFFSET(EVENTOS!$D$14,$B44,0),0),IF(B44&lt;=MAX(CÁLCULO!$M$15:$M$266),VLOOKUP($B44,CÁLCULO!$M$15:$N$266,2,FALSE),0))</f>
        <v>0</v>
      </c>
      <c r="D44" s="728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28">
        <f ca="1">IF(AUTOEVENTO="Manual",IF($B45&lt;&gt;1,OFFSET(EVENTOS!$D$14,$B45,0),0),IF(B45&lt;=MAX(CÁLCULO!$M$15:$M$266),VLOOKUP($B45,CÁLCULO!$M$15:$N$266,2,FALSE),0))</f>
        <v>0</v>
      </c>
      <c r="D45" s="728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28">
        <f ca="1">IF(AUTOEVENTO="Manual",IF($B46&lt;&gt;1,OFFSET(EVENTOS!$D$14,$B46,0),0),IF(B46&lt;=MAX(CÁLCULO!$M$15:$M$266),VLOOKUP($B46,CÁLCULO!$M$15:$N$266,2,FALSE),0))</f>
        <v>0</v>
      </c>
      <c r="D46" s="728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28">
        <f ca="1">IF(AUTOEVENTO="Manual",IF($B47&lt;&gt;1,OFFSET(EVENTOS!$D$14,$B47,0),0),IF(B47&lt;=MAX(CÁLCULO!$M$15:$M$266),VLOOKUP($B47,CÁLCULO!$M$15:$N$266,2,FALSE),0))</f>
        <v>0</v>
      </c>
      <c r="D47" s="728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28">
        <f ca="1">IF(AUTOEVENTO="Manual",IF($B48&lt;&gt;1,OFFSET(EVENTOS!$D$14,$B48,0),0),IF(B48&lt;=MAX(CÁLCULO!$M$15:$M$266),VLOOKUP($B48,CÁLCULO!$M$15:$N$266,2,FALSE),0))</f>
        <v>0</v>
      </c>
      <c r="D48" s="728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28">
        <f ca="1">IF(AUTOEVENTO="Manual",IF($B49&lt;&gt;1,OFFSET(EVENTOS!$D$14,$B49,0),0),IF(B49&lt;=MAX(CÁLCULO!$M$15:$M$266),VLOOKUP($B49,CÁLCULO!$M$15:$N$266,2,FALSE),0))</f>
        <v>0</v>
      </c>
      <c r="D49" s="728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28">
        <f ca="1">IF(AUTOEVENTO="Manual",IF($B50&lt;&gt;1,OFFSET(EVENTOS!$D$14,$B50,0),0),IF(B50&lt;=MAX(CÁLCULO!$M$15:$M$266),VLOOKUP($B50,CÁLCULO!$M$15:$N$266,2,FALSE),0))</f>
        <v>0</v>
      </c>
      <c r="D50" s="728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28">
        <f ca="1">IF(AUTOEVENTO="Manual",IF($B51&lt;&gt;1,OFFSET(EVENTOS!$D$14,$B51,0),0),IF(B51&lt;=MAX(CÁLCULO!$M$15:$M$266),VLOOKUP($B51,CÁLCULO!$M$15:$N$266,2,FALSE),0))</f>
        <v>0</v>
      </c>
      <c r="D51" s="728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28">
        <f ca="1">IF(AUTOEVENTO="Manual",IF($B52&lt;&gt;1,OFFSET(EVENTOS!$D$14,$B52,0),0),IF(B52&lt;=MAX(CÁLCULO!$M$15:$M$266),VLOOKUP($B52,CÁLCULO!$M$15:$N$266,2,FALSE),0))</f>
        <v>0</v>
      </c>
      <c r="D52" s="728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28">
        <f ca="1">IF(AUTOEVENTO="Manual",IF($B53&lt;&gt;1,OFFSET(EVENTOS!$D$14,$B53,0),0),IF(B53&lt;=MAX(CÁLCULO!$M$15:$M$266),VLOOKUP($B53,CÁLCULO!$M$15:$N$266,2,FALSE),0))</f>
        <v>0</v>
      </c>
      <c r="D53" s="728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28">
        <f ca="1">IF(AUTOEVENTO="Manual",IF($B54&lt;&gt;1,OFFSET(EVENTOS!$D$14,$B54,0),0),IF(B54&lt;=MAX(CÁLCULO!$M$15:$M$266),VLOOKUP($B54,CÁLCULO!$M$15:$N$266,2,FALSE),0))</f>
        <v>0</v>
      </c>
      <c r="D54" s="728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28">
        <f ca="1">IF(AUTOEVENTO="Manual",IF($B55&lt;&gt;1,OFFSET(EVENTOS!$D$14,$B55,0),0),IF(B55&lt;=MAX(CÁLCULO!$M$15:$M$266),VLOOKUP($B55,CÁLCULO!$M$15:$N$266,2,FALSE),0))</f>
        <v>0</v>
      </c>
      <c r="D55" s="728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28">
        <f ca="1">IF(AUTOEVENTO="Manual",IF($B56&lt;&gt;1,OFFSET(EVENTOS!$D$14,$B56,0),0),IF(B56&lt;=MAX(CÁLCULO!$M$15:$M$266),VLOOKUP($B56,CÁLCULO!$M$15:$N$266,2,FALSE),0))</f>
        <v>0</v>
      </c>
      <c r="D56" s="728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28">
        <f ca="1">IF(AUTOEVENTO="Manual",IF($B57&lt;&gt;1,OFFSET(EVENTOS!$D$14,$B57,0),0),IF(B57&lt;=MAX(CÁLCULO!$M$15:$M$266),VLOOKUP($B57,CÁLCULO!$M$15:$N$266,2,FALSE),0))</f>
        <v>0</v>
      </c>
      <c r="D57" s="728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28">
        <f ca="1">IF(AUTOEVENTO="Manual",IF($B58&lt;&gt;1,OFFSET(EVENTOS!$D$14,$B58,0),0),IF(B58&lt;=MAX(CÁLCULO!$M$15:$M$266),VLOOKUP($B58,CÁLCULO!$M$15:$N$266,2,FALSE),0))</f>
        <v>0</v>
      </c>
      <c r="D58" s="728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28">
        <f ca="1">IF(AUTOEVENTO="Manual",IF($B59&lt;&gt;1,OFFSET(EVENTOS!$D$14,$B59,0),0),IF(B59&lt;=MAX(CÁLCULO!$M$15:$M$266),VLOOKUP($B59,CÁLCULO!$M$15:$N$266,2,FALSE),0))</f>
        <v>0</v>
      </c>
      <c r="D59" s="728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28">
        <f ca="1">IF(AUTOEVENTO="Manual",IF($B60&lt;&gt;1,OFFSET(EVENTOS!$D$14,$B60,0),0),IF(B60&lt;=MAX(CÁLCULO!$M$15:$M$266),VLOOKUP($B60,CÁLCULO!$M$15:$N$266,2,FALSE),0))</f>
        <v>0</v>
      </c>
      <c r="D60" s="728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28">
        <f ca="1">IF(AUTOEVENTO="Manual",IF($B61&lt;&gt;1,OFFSET(EVENTOS!$D$14,$B61,0),0),IF(B61&lt;=MAX(CÁLCULO!$M$15:$M$266),VLOOKUP($B61,CÁLCULO!$M$15:$N$266,2,FALSE),0))</f>
        <v>0</v>
      </c>
      <c r="D61" s="728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28">
        <f ca="1">IF(AUTOEVENTO="Manual",IF($B62&lt;&gt;1,OFFSET(EVENTOS!$D$14,$B62,0),0),IF(B62&lt;=MAX(CÁLCULO!$M$15:$M$266),VLOOKUP($B62,CÁLCULO!$M$15:$N$266,2,FALSE),0))</f>
        <v>0</v>
      </c>
      <c r="D62" s="728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28">
        <f ca="1">IF(AUTOEVENTO="Manual",IF($B63&lt;&gt;1,OFFSET(EVENTOS!$D$14,$B63,0),0),IF(B63&lt;=MAX(CÁLCULO!$M$15:$M$266),VLOOKUP($B63,CÁLCULO!$M$15:$N$266,2,FALSE),0))</f>
        <v>0</v>
      </c>
      <c r="D63" s="728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28">
        <f ca="1">IF(AUTOEVENTO="Manual",IF($B64&lt;&gt;1,OFFSET(EVENTOS!$D$14,$B64,0),0),IF(B64&lt;=MAX(CÁLCULO!$M$15:$M$266),VLOOKUP($B64,CÁLCULO!$M$15:$N$266,2,FALSE),0))</f>
        <v>0</v>
      </c>
      <c r="D64" s="728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35" t="s">
        <v>297</v>
      </c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5"/>
      <c r="X67" s="735"/>
      <c r="Y67" s="735"/>
      <c r="Z67" s="735"/>
      <c r="AA67" s="735"/>
      <c r="AB67" s="735"/>
      <c r="AC67" s="735"/>
      <c r="AD67" s="735"/>
      <c r="AE67" s="735"/>
      <c r="AF67" s="735"/>
    </row>
    <row r="68" spans="1:32" x14ac:dyDescent="0.2">
      <c r="A68" s="9" t="s">
        <v>245</v>
      </c>
      <c r="H68" s="582"/>
      <c r="I68" s="750"/>
      <c r="J68" s="736"/>
      <c r="K68" s="736"/>
      <c r="L68" s="736"/>
      <c r="M68" s="736"/>
      <c r="N68" s="736"/>
      <c r="O68" s="736"/>
      <c r="P68" s="736"/>
      <c r="Q68" s="736"/>
      <c r="R68" s="736"/>
      <c r="S68" s="736"/>
      <c r="T68" s="736"/>
      <c r="U68" s="736"/>
      <c r="V68" s="736"/>
      <c r="W68" s="736"/>
      <c r="X68" s="736"/>
      <c r="Y68" s="736"/>
      <c r="Z68" s="736"/>
      <c r="AA68" s="736"/>
      <c r="AB68" s="736"/>
      <c r="AC68" s="736"/>
      <c r="AD68" s="736"/>
      <c r="AE68" s="736"/>
      <c r="AF68" s="741"/>
    </row>
    <row r="69" spans="1:32" x14ac:dyDescent="0.2">
      <c r="A69" s="9" t="s">
        <v>245</v>
      </c>
      <c r="D69" s="351" t="s">
        <v>298</v>
      </c>
      <c r="I69" s="740">
        <f>IF(PLE.Medicao&lt;=12,1,TRUNC((PLE.Medicao - 2)/11,0) * 11 + 1)</f>
        <v>1</v>
      </c>
      <c r="J69" s="740"/>
      <c r="K69" s="740">
        <f>I69+1</f>
        <v>2</v>
      </c>
      <c r="L69" s="740"/>
      <c r="M69" s="740">
        <f>K69+1</f>
        <v>3</v>
      </c>
      <c r="N69" s="740"/>
      <c r="O69" s="740">
        <f>M69+1</f>
        <v>4</v>
      </c>
      <c r="P69" s="740"/>
      <c r="Q69" s="740">
        <f>O69+1</f>
        <v>5</v>
      </c>
      <c r="R69" s="740"/>
      <c r="S69" s="740">
        <f>Q69+1</f>
        <v>6</v>
      </c>
      <c r="T69" s="740"/>
      <c r="U69" s="740">
        <f>S69+1</f>
        <v>7</v>
      </c>
      <c r="V69" s="740"/>
      <c r="W69" s="740">
        <f>U69+1</f>
        <v>8</v>
      </c>
      <c r="X69" s="740"/>
      <c r="Y69" s="740">
        <f>W69+1</f>
        <v>9</v>
      </c>
      <c r="Z69" s="740"/>
      <c r="AA69" s="740">
        <f>Y69+1</f>
        <v>10</v>
      </c>
      <c r="AB69" s="740"/>
      <c r="AC69" s="740">
        <f>AA69+1</f>
        <v>11</v>
      </c>
      <c r="AD69" s="740"/>
      <c r="AE69" s="740">
        <f>AC69+1</f>
        <v>12</v>
      </c>
      <c r="AF69" s="740"/>
    </row>
    <row r="70" spans="1:32" x14ac:dyDescent="0.2">
      <c r="A70" s="9" t="s">
        <v>245</v>
      </c>
      <c r="D70" s="742" t="s">
        <v>282</v>
      </c>
      <c r="H70" s="352" t="s">
        <v>299</v>
      </c>
      <c r="I70" s="749">
        <f ca="1">ROUND(I71,2)/ORÇAMENTO!$X$15</f>
        <v>0</v>
      </c>
      <c r="J70" s="749"/>
      <c r="K70" s="739">
        <f ca="1">ROUND(K71,2)/ORÇAMENTO!$X$15</f>
        <v>0</v>
      </c>
      <c r="L70" s="739"/>
      <c r="M70" s="738">
        <f ca="1">ROUND(M71,2)/ORÇAMENTO!$X$15</f>
        <v>0</v>
      </c>
      <c r="N70" s="738"/>
      <c r="O70" s="739">
        <f ca="1">ROUND(O71,2)/ORÇAMENTO!$X$15</f>
        <v>0</v>
      </c>
      <c r="P70" s="739"/>
      <c r="Q70" s="738">
        <f ca="1">ROUND(Q71,2)/ORÇAMENTO!$X$15</f>
        <v>0</v>
      </c>
      <c r="R70" s="738"/>
      <c r="S70" s="739">
        <f ca="1">ROUND(S71,2)/ORÇAMENTO!$X$15</f>
        <v>0</v>
      </c>
      <c r="T70" s="739"/>
      <c r="U70" s="738">
        <f ca="1">ROUND(U71,2)/ORÇAMENTO!$X$15</f>
        <v>0</v>
      </c>
      <c r="V70" s="738"/>
      <c r="W70" s="739">
        <f ca="1">ROUND(W71,2)/ORÇAMENTO!$X$15</f>
        <v>0</v>
      </c>
      <c r="X70" s="739"/>
      <c r="Y70" s="738">
        <f ca="1">ROUND(Y71,2)/ORÇAMENTO!$X$15</f>
        <v>0</v>
      </c>
      <c r="Z70" s="738"/>
      <c r="AA70" s="739">
        <f ca="1">ROUND(AA71,2)/ORÇAMENTO!$X$15</f>
        <v>0</v>
      </c>
      <c r="AB70" s="739"/>
      <c r="AC70" s="738">
        <f ca="1">ROUND(AC71,2)/ORÇAMENTO!$X$15</f>
        <v>0</v>
      </c>
      <c r="AD70" s="738"/>
      <c r="AE70" s="739">
        <f ca="1">ROUND(AE71,2)/ORÇAMENTO!$X$15</f>
        <v>0</v>
      </c>
      <c r="AF70" s="739"/>
    </row>
    <row r="71" spans="1:32" x14ac:dyDescent="0.2">
      <c r="A71" s="9" t="s">
        <v>245</v>
      </c>
      <c r="D71" s="742"/>
      <c r="H71" s="353" t="s">
        <v>300</v>
      </c>
      <c r="I71" s="743">
        <f ca="1">IF(I69=1,I73,ROUND(I73,2)-ROUND(SUMIF(CÁLCULO!$AX$15:$BH$266,"&lt;="&amp;PLE!I69-1,CÁLCULO!$AB$15:$AL$266)*(1+CÁLCULO.TotalAdmLocal/(ORÇAMENTO!$X$15-CÁLCULO.TotalAdmLocal)),2))</f>
        <v>0</v>
      </c>
      <c r="J71" s="743"/>
      <c r="K71" s="743">
        <f ca="1">ROUND(K73,2)-ROUND(I73,2)</f>
        <v>0</v>
      </c>
      <c r="L71" s="743"/>
      <c r="M71" s="747">
        <f ca="1">ROUND(M73,2)-ROUND(K73,2)</f>
        <v>0</v>
      </c>
      <c r="N71" s="747"/>
      <c r="O71" s="743">
        <f ca="1">ROUND(O73,2)-ROUND(M73,2)</f>
        <v>0</v>
      </c>
      <c r="P71" s="743"/>
      <c r="Q71" s="747">
        <f ca="1">ROUND(Q73,2)-ROUND(O73,2)</f>
        <v>0</v>
      </c>
      <c r="R71" s="747"/>
      <c r="S71" s="743">
        <f ca="1">ROUND(S73,2)-ROUND(Q73,2)</f>
        <v>0</v>
      </c>
      <c r="T71" s="743"/>
      <c r="U71" s="747">
        <f ca="1">ROUND(U73,2)-ROUND(S73,2)</f>
        <v>0</v>
      </c>
      <c r="V71" s="747"/>
      <c r="W71" s="743">
        <f ca="1">ROUND(W73,2)-ROUND(U73,2)</f>
        <v>0</v>
      </c>
      <c r="X71" s="743"/>
      <c r="Y71" s="747">
        <f ca="1">ROUND(Y73,2)-ROUND(W73,2)</f>
        <v>0</v>
      </c>
      <c r="Z71" s="747"/>
      <c r="AA71" s="743">
        <f ca="1">ROUND(AA73,2)-ROUND(Y73,2)</f>
        <v>0</v>
      </c>
      <c r="AB71" s="743"/>
      <c r="AC71" s="747">
        <f ca="1">ROUND(AC73,2)-ROUND(AA73,2)</f>
        <v>0</v>
      </c>
      <c r="AD71" s="747"/>
      <c r="AE71" s="743">
        <f ca="1">ROUND(AE73,2)-ROUND(AC73,2)</f>
        <v>0</v>
      </c>
      <c r="AF71" s="743"/>
    </row>
    <row r="72" spans="1:32" x14ac:dyDescent="0.2">
      <c r="A72" s="9" t="s">
        <v>245</v>
      </c>
      <c r="D72" s="742" t="s">
        <v>286</v>
      </c>
      <c r="H72" s="352" t="s">
        <v>299</v>
      </c>
      <c r="I72" s="745">
        <f ca="1">ROUND(I73,2)/ORÇAMENTO!$X$15</f>
        <v>0</v>
      </c>
      <c r="J72" s="745"/>
      <c r="K72" s="744">
        <f ca="1">ROUND(K73,2)/ORÇAMENTO!$X$15</f>
        <v>0</v>
      </c>
      <c r="L72" s="744"/>
      <c r="M72" s="746">
        <f ca="1">ROUND(M73,2)/ORÇAMENTO!$X$15</f>
        <v>0</v>
      </c>
      <c r="N72" s="746"/>
      <c r="O72" s="744">
        <f ca="1">ROUND(O73,2)/ORÇAMENTO!$X$15</f>
        <v>0</v>
      </c>
      <c r="P72" s="744"/>
      <c r="Q72" s="746">
        <f ca="1">ROUND(Q73,2)/ORÇAMENTO!$X$15</f>
        <v>0</v>
      </c>
      <c r="R72" s="746"/>
      <c r="S72" s="744">
        <f ca="1">ROUND(S73,2)/ORÇAMENTO!$X$15</f>
        <v>0</v>
      </c>
      <c r="T72" s="744"/>
      <c r="U72" s="746">
        <f ca="1">ROUND(U73,2)/ORÇAMENTO!$X$15</f>
        <v>0</v>
      </c>
      <c r="V72" s="746"/>
      <c r="W72" s="744">
        <f ca="1">ROUND(W73,2)/ORÇAMENTO!$X$15</f>
        <v>0</v>
      </c>
      <c r="X72" s="744"/>
      <c r="Y72" s="746">
        <f ca="1">ROUND(Y73,2)/ORÇAMENTO!$X$15</f>
        <v>0</v>
      </c>
      <c r="Z72" s="746"/>
      <c r="AA72" s="744">
        <f ca="1">ROUND(AA73,2)/ORÇAMENTO!$X$15</f>
        <v>0</v>
      </c>
      <c r="AB72" s="744"/>
      <c r="AC72" s="746">
        <f ca="1">ROUND(AC73,2)/ORÇAMENTO!$X$15</f>
        <v>0</v>
      </c>
      <c r="AD72" s="746"/>
      <c r="AE72" s="744">
        <f ca="1">ROUND(AE73,2)/ORÇAMENTO!$X$15</f>
        <v>0</v>
      </c>
      <c r="AF72" s="744"/>
    </row>
    <row r="73" spans="1:32" x14ac:dyDescent="0.2">
      <c r="A73" s="9" t="s">
        <v>245</v>
      </c>
      <c r="D73" s="742"/>
      <c r="H73" s="353" t="s">
        <v>300</v>
      </c>
      <c r="I73" s="748">
        <f ca="1">SUMIF(CÁLCULO!$AX$15:$BH$266,"&lt;="&amp;PLE!I69,CÁLCULO!$AB$15:$AL$266)*(1+CÁLCULO.TotalAdmLocal/(ORÇAMENTO!$X$15-CÁLCULO.TotalAdmLocal))</f>
        <v>0</v>
      </c>
      <c r="J73" s="748"/>
      <c r="K73" s="743">
        <f ca="1">SUMIF(CÁLCULO!$AX$15:$BH$266,"&lt;="&amp;PLE!K69,CÁLCULO!$AB$15:$AL$266)*(1+CÁLCULO.TotalAdmLocal/(ORÇAMENTO!$X$15-CÁLCULO.TotalAdmLocal))</f>
        <v>0</v>
      </c>
      <c r="L73" s="743"/>
      <c r="M73" s="747">
        <f ca="1">SUMIF(CÁLCULO!$AX$15:$BH$266,"&lt;="&amp;PLE!M69,CÁLCULO!$AB$15:$AL$266)*(1+CÁLCULO.TotalAdmLocal/(ORÇAMENTO!$X$15-CÁLCULO.TotalAdmLocal))</f>
        <v>0</v>
      </c>
      <c r="N73" s="747"/>
      <c r="O73" s="743">
        <f ca="1">SUMIF(CÁLCULO!$AX$15:$BH$266,"&lt;="&amp;PLE!O69,CÁLCULO!$AB$15:$AL$266)*(1+CÁLCULO.TotalAdmLocal/(ORÇAMENTO!$X$15-CÁLCULO.TotalAdmLocal))</f>
        <v>0</v>
      </c>
      <c r="P73" s="743"/>
      <c r="Q73" s="747">
        <f ca="1">SUMIF(CÁLCULO!$AX$15:$BH$266,"&lt;="&amp;PLE!Q69,CÁLCULO!$AB$15:$AL$266)*(1+CÁLCULO.TotalAdmLocal/(ORÇAMENTO!$X$15-CÁLCULO.TotalAdmLocal))</f>
        <v>0</v>
      </c>
      <c r="R73" s="747"/>
      <c r="S73" s="743">
        <f ca="1">SUMIF(CÁLCULO!$AX$15:$BH$266,"&lt;="&amp;PLE!S69,CÁLCULO!$AB$15:$AL$266)*(1+CÁLCULO.TotalAdmLocal/(ORÇAMENTO!$X$15-CÁLCULO.TotalAdmLocal))</f>
        <v>0</v>
      </c>
      <c r="T73" s="743"/>
      <c r="U73" s="747">
        <f ca="1">SUMIF(CÁLCULO!$AX$15:$BH$266,"&lt;="&amp;PLE!U69,CÁLCULO!$AB$15:$AL$266)*(1+CÁLCULO.TotalAdmLocal/(ORÇAMENTO!$X$15-CÁLCULO.TotalAdmLocal))</f>
        <v>0</v>
      </c>
      <c r="V73" s="747"/>
      <c r="W73" s="743">
        <f ca="1">SUMIF(CÁLCULO!$AX$15:$BH$266,"&lt;="&amp;PLE!W69,CÁLCULO!$AB$15:$AL$266)*(1+CÁLCULO.TotalAdmLocal/(ORÇAMENTO!$X$15-CÁLCULO.TotalAdmLocal))</f>
        <v>0</v>
      </c>
      <c r="X73" s="743"/>
      <c r="Y73" s="747">
        <f ca="1">SUMIF(CÁLCULO!$AX$15:$BH$266,"&lt;="&amp;PLE!Y69,CÁLCULO!$AB$15:$AL$266)*(1+CÁLCULO.TotalAdmLocal/(ORÇAMENTO!$X$15-CÁLCULO.TotalAdmLocal))</f>
        <v>0</v>
      </c>
      <c r="Z73" s="747"/>
      <c r="AA73" s="743">
        <f ca="1">SUMIF(CÁLCULO!$AX$15:$BH$266,"&lt;="&amp;PLE!AA69,CÁLCULO!$AB$15:$AL$266)*(1+CÁLCULO.TotalAdmLocal/(ORÇAMENTO!$X$15-CÁLCULO.TotalAdmLocal))</f>
        <v>0</v>
      </c>
      <c r="AB73" s="743"/>
      <c r="AC73" s="747">
        <f ca="1">SUMIF(CÁLCULO!$AX$15:$BH$266,"&lt;="&amp;PLE!AC69,CÁLCULO!$AB$15:$AL$266)*(1+CÁLCULO.TotalAdmLocal/(ORÇAMENTO!$X$15-CÁLCULO.TotalAdmLocal))</f>
        <v>0</v>
      </c>
      <c r="AD73" s="747"/>
      <c r="AE73" s="743">
        <f ca="1">SUMIF(CÁLCULO!$AX$15:$BH$266,"&lt;="&amp;PLE!AE69,CÁLCULO!$AB$15:$AL$266)*(1+CÁLCULO.TotalAdmLocal/(ORÇAMENTO!$X$15-CÁLCULO.TotalAdmLocal))</f>
        <v>0</v>
      </c>
      <c r="AF73" s="74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698" t="str">
        <f>Import.Município</f>
        <v>CEU AZUL - PR</v>
      </c>
      <c r="C75" s="698"/>
      <c r="D75" s="698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FRANCIELLY MATTEI DIAS LEMES</v>
      </c>
      <c r="X77" s="105"/>
    </row>
    <row r="78" spans="1:32" x14ac:dyDescent="0.2">
      <c r="A78" s="9" t="s">
        <v>245</v>
      </c>
      <c r="B78" s="693">
        <f ca="1">DADOS!$F$47</f>
        <v>45138</v>
      </c>
      <c r="C78" s="693"/>
      <c r="D78" s="693"/>
      <c r="E78" s="105"/>
      <c r="I78" s="97"/>
      <c r="K78" s="105"/>
      <c r="U78" s="95" t="s">
        <v>126</v>
      </c>
      <c r="W78" s="354" t="str">
        <v>TECNICA EM EDIFICAÇÕES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CRT04-03486316931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K17" sqref="K17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66" t="s">
        <v>439</v>
      </c>
      <c r="E3" s="666"/>
      <c r="F3" s="112" t="s">
        <v>440</v>
      </c>
      <c r="G3" s="666" t="s">
        <v>146</v>
      </c>
      <c r="H3" s="666"/>
      <c r="I3" s="666"/>
      <c r="J3" s="751" t="s">
        <v>305</v>
      </c>
      <c r="K3" s="751"/>
      <c r="L3" s="751"/>
      <c r="M3" s="752" t="s">
        <v>306</v>
      </c>
      <c r="N3" s="752"/>
      <c r="O3" s="752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63">
        <f>Import.CR</f>
        <v>0</v>
      </c>
      <c r="E4" s="663"/>
      <c r="F4" s="73">
        <f>Import.SICONV</f>
        <v>0</v>
      </c>
      <c r="G4" s="663" t="str">
        <f>Import.Proponente</f>
        <v>MUNICIPIO DE CÉU AZUL</v>
      </c>
      <c r="H4" s="663"/>
      <c r="I4" s="663"/>
      <c r="J4" s="753" t="str">
        <f>Import.Município</f>
        <v>CEU AZUL - PR</v>
      </c>
      <c r="K4" s="753"/>
      <c r="L4" s="753"/>
      <c r="M4" s="752"/>
      <c r="N4" s="752"/>
      <c r="O4" s="752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66" t="s">
        <v>201</v>
      </c>
      <c r="E6" s="666"/>
      <c r="F6" s="666"/>
      <c r="G6" s="666"/>
      <c r="H6" s="666"/>
      <c r="I6" s="666"/>
      <c r="J6" s="666"/>
      <c r="K6" s="666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92" t="s">
        <v>208</v>
      </c>
      <c r="D7" s="663" t="str">
        <f>Import.Apelido</f>
        <v>OBRA DE MODERNIZAÇÃO DO CENTRO COMUNITARIO DE NOVA UNIÃO</v>
      </c>
      <c r="E7" s="663"/>
      <c r="F7" s="663"/>
      <c r="G7" s="663"/>
      <c r="H7" s="663"/>
      <c r="I7" s="663"/>
      <c r="J7" s="663"/>
      <c r="K7" s="663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92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92"/>
      <c r="E9" s="16"/>
      <c r="G9" s="756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6"/>
      <c r="I9" s="756"/>
      <c r="J9" s="756"/>
      <c r="K9" s="757" t="s">
        <v>312</v>
      </c>
      <c r="L9" s="363" t="str">
        <f>$L$13</f>
        <v>Repasse (R$)</v>
      </c>
      <c r="M9" s="363" t="s">
        <v>237</v>
      </c>
      <c r="AD9" s="754"/>
      <c r="AE9" s="754"/>
    </row>
    <row r="10" spans="1:31" ht="12.75" customHeight="1" x14ac:dyDescent="0.2">
      <c r="A10" s="758" t="s">
        <v>313</v>
      </c>
      <c r="C10" s="692"/>
      <c r="G10" s="756"/>
      <c r="H10" s="756"/>
      <c r="I10" s="756"/>
      <c r="J10" s="756"/>
      <c r="K10" s="757"/>
      <c r="L10" s="364">
        <f ca="1">Import.Repasse-L24</f>
        <v>0</v>
      </c>
      <c r="M10" s="365">
        <f ca="1">Import.Contrapartida-M24</f>
        <v>-599993.04</v>
      </c>
      <c r="Z10" s="705" t="s">
        <v>215</v>
      </c>
      <c r="AA10" s="705"/>
      <c r="AB10" s="705"/>
      <c r="AD10" s="754" t="s">
        <v>314</v>
      </c>
      <c r="AE10" s="754"/>
    </row>
    <row r="11" spans="1:31" ht="20.100000000000001" customHeight="1" x14ac:dyDescent="0.2">
      <c r="A11" s="758"/>
      <c r="C11" s="692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 t="s">
        <v>20</v>
      </c>
      <c r="F14" s="367" t="s">
        <v>20</v>
      </c>
      <c r="G14" s="608" t="str">
        <f ca="1">IF(OR($B14="Manual",$B14="SemiAuto"),QCI.DescManual,IF($B14="Automático",INDEX(ORÇAMENTO!$R$15:$R$266,MATCH($A14,ORÇAMENTO!$E$15:$E$266,0)),""))</f>
        <v>REFORMA DO CENTRO COMUNITÁRIO DE NOVA UNIÃO</v>
      </c>
      <c r="H14" s="148" t="s">
        <v>541</v>
      </c>
      <c r="I14" s="607">
        <v>994.03</v>
      </c>
      <c r="J14" s="368" t="str">
        <f ca="1">IF(AND(ISBLANK(E14),ISBLANK(F14)),"",VLOOKUP($F14,OFFSET(DADOS!$A$2,1,MATCH(QCI!$E14,DADOS!$2:$2,0)-1,100,50),2,FALSE))</f>
        <v>un</v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599993.04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599993.04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599993.04</v>
      </c>
      <c r="X14" s="376">
        <v>0</v>
      </c>
      <c r="Z14" s="377">
        <f t="shared" ref="Z14:Z22" ca="1" si="8">$O14-$AA14-$AB14</f>
        <v>2.3283064365386963E-10</v>
      </c>
      <c r="AA14">
        <f ca="1">IF($B14="Branco",0,IF($B14="Manual",QCI.CPManual,IF($B14="SemiAuto",ROUND(QCI!$AA$3*QCI.InvManual,2),INDEX(ORÇAMENTO!$AA$15:$AA$266,MATCH($A14,ORÇAMENTO!$E$15:$E$266,0)))))</f>
        <v>599993.0399999998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/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/>
      </c>
      <c r="L15" s="369">
        <f t="shared" ca="1" si="4"/>
        <v>0</v>
      </c>
      <c r="M15" s="370">
        <f t="shared" ca="1" si="5"/>
        <v>0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0</v>
      </c>
      <c r="P15" s="579"/>
      <c r="R15" s="609"/>
      <c r="T15" s="610"/>
      <c r="U15" s="374"/>
      <c r="V15" s="611" t="s">
        <v>316</v>
      </c>
      <c r="W15" s="375">
        <f t="shared" ca="1" si="7"/>
        <v>0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5" t="s">
        <v>327</v>
      </c>
      <c r="L24" s="388">
        <f ca="1">SUM(L13:OFFSET(L24,-1,0))</f>
        <v>0</v>
      </c>
      <c r="M24" s="389">
        <f ca="1">SUM(M13:OFFSET(M24,-1,0))</f>
        <v>599993.04</v>
      </c>
      <c r="N24" s="390">
        <f ca="1">SUM(N13:OFFSET(N24,-1,0))</f>
        <v>0</v>
      </c>
      <c r="O24" s="391">
        <f ca="1">SUM(O13:OFFSET(O24,-1,0))</f>
        <v>599993.04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599993.04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5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</row>
    <row r="29" spans="1:31" ht="12.75" customHeight="1" x14ac:dyDescent="0.2"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</row>
    <row r="30" spans="1:31" ht="12.75" customHeight="1" x14ac:dyDescent="0.2">
      <c r="D30" s="696"/>
      <c r="E30" s="696"/>
      <c r="F30" s="696"/>
      <c r="G30" s="696"/>
      <c r="H30" s="696"/>
      <c r="I30" s="696"/>
      <c r="J30" s="696"/>
      <c r="K30" s="696"/>
      <c r="L30" s="696"/>
      <c r="M30" s="696"/>
      <c r="N30" s="696"/>
      <c r="O30" s="696"/>
    </row>
    <row r="33" spans="4:12" ht="15" x14ac:dyDescent="0.2">
      <c r="D33" s="698" t="str">
        <f>Import.Município</f>
        <v>CEU AZUL - PR</v>
      </c>
      <c r="E33" s="698"/>
      <c r="F33" s="698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693">
        <f>DADOS!$F$25</f>
        <v>45131</v>
      </c>
      <c r="E36" s="693"/>
      <c r="F36" s="693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J29" sqref="J29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59" t="b">
        <v>0</v>
      </c>
      <c r="B3" s="759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66" t="s">
        <v>146</v>
      </c>
      <c r="E4" s="666"/>
      <c r="F4" s="703" t="s">
        <v>439</v>
      </c>
      <c r="G4" s="703"/>
      <c r="H4" s="703"/>
      <c r="I4" s="184" t="s">
        <v>440</v>
      </c>
      <c r="J4" s="666" t="s">
        <v>201</v>
      </c>
      <c r="K4" s="666"/>
      <c r="L4" s="666"/>
      <c r="M4" s="666"/>
      <c r="N4" s="666"/>
      <c r="O4" s="186" t="s">
        <v>331</v>
      </c>
    </row>
    <row r="5" spans="1:41" ht="12.75" customHeight="1" x14ac:dyDescent="0.2">
      <c r="A5" t="s">
        <v>332</v>
      </c>
      <c r="C5" s="105"/>
      <c r="D5" s="663" t="str">
        <f>Import.Proponente</f>
        <v>MUNICIPIO DE CÉU AZUL</v>
      </c>
      <c r="E5" s="663"/>
      <c r="F5" s="701">
        <f>Import.CR</f>
        <v>0</v>
      </c>
      <c r="G5" s="701"/>
      <c r="H5" s="701"/>
      <c r="I5" s="416">
        <f>Import.SICONV</f>
        <v>0</v>
      </c>
      <c r="J5" s="663" t="str">
        <f>Import.Apelido</f>
        <v>OBRA DE MODERNIZAÇÃO DO CENTRO COMUNITARIO DE NOVA UNIÃO</v>
      </c>
      <c r="K5" s="663"/>
      <c r="L5" s="663"/>
      <c r="M5" s="663"/>
      <c r="N5" s="663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66" t="s">
        <v>336</v>
      </c>
      <c r="G7" s="666"/>
      <c r="H7" s="666"/>
      <c r="I7" s="666" t="str">
        <f>IF(TIPOORCAMENTO="Licitado","REGIME DE EXECUÇÃO","MUNICÍPIO / UF")</f>
        <v>MUNICÍPIO / UF</v>
      </c>
      <c r="J7" s="666"/>
      <c r="K7" s="666"/>
      <c r="L7" s="666"/>
      <c r="M7" s="666" t="s">
        <v>337</v>
      </c>
      <c r="N7" s="666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92" t="s">
        <v>208</v>
      </c>
      <c r="D8" s="420">
        <f>Import.CTEF</f>
        <v>0</v>
      </c>
      <c r="E8" s="73">
        <f>Import.empresa</f>
        <v>0</v>
      </c>
      <c r="F8" s="663">
        <f>Import.CNPJ</f>
        <v>0</v>
      </c>
      <c r="G8" s="663"/>
      <c r="H8" s="663"/>
      <c r="I8" s="663" t="str">
        <f>IF(TIPOORCAMENTO="Licitado",Import.RegimeExecução,Import.Município)</f>
        <v>CEU AZUL - PR</v>
      </c>
      <c r="J8" s="663"/>
      <c r="K8" s="663"/>
      <c r="L8" s="663"/>
      <c r="M8" s="663" t="str">
        <f ca="1">TEXT(IF(BM.medicao=1,Import.DataInicioObra,OFFSET($AB$12,0,BM.medicao-1-$AB$13)+1),"dd/mm/aaaa")&amp;" a "&amp;TEXT(OFFSET($AB$12,0,BM.medicao-$AB$13),"dd/mm/aaaa")</f>
        <v>00/01/1900 a 00/01/1900</v>
      </c>
      <c r="N8" s="663"/>
      <c r="O8" s="541">
        <v>1</v>
      </c>
    </row>
    <row r="9" spans="1:41" ht="12.75" customHeight="1" x14ac:dyDescent="0.2">
      <c r="A9" s="578" t="b">
        <v>1</v>
      </c>
      <c r="B9" s="55"/>
      <c r="C9" s="692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92"/>
      <c r="D10" s="16"/>
      <c r="E10" s="760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60"/>
      <c r="G10" s="760"/>
      <c r="H10" s="760"/>
      <c r="I10" s="760"/>
      <c r="J10" s="105"/>
      <c r="K10" s="105"/>
      <c r="L10" s="105"/>
      <c r="N10" s="761" t="str">
        <f ca="1">"Realizado Acumulado: "&amp;TEXT(ROUND($O$15/($I$15+10^-12),4),"0,00%")</f>
        <v>Realizado Acumulado: 0,00%</v>
      </c>
      <c r="O10" s="761"/>
    </row>
    <row r="11" spans="1:41" ht="15" customHeight="1" x14ac:dyDescent="0.25">
      <c r="C11" s="692"/>
      <c r="D11" s="105"/>
      <c r="E11" s="760"/>
      <c r="F11" s="760"/>
      <c r="G11" s="760"/>
      <c r="H11" s="760"/>
      <c r="I11" s="760"/>
      <c r="J11" s="105"/>
      <c r="K11" s="105"/>
      <c r="L11" s="105"/>
      <c r="M11" s="105"/>
      <c r="N11" s="761"/>
      <c r="O11" s="761"/>
      <c r="T11" s="765" t="s">
        <v>340</v>
      </c>
      <c r="U11" s="765"/>
      <c r="V11" s="101"/>
      <c r="W11" s="101"/>
      <c r="X11" s="101"/>
      <c r="Y11" s="101"/>
      <c r="Z11" s="60"/>
      <c r="AB11" s="762" t="s">
        <v>341</v>
      </c>
      <c r="AC11" s="762"/>
      <c r="AD11" s="762"/>
      <c r="AE11" s="762"/>
      <c r="AF11" s="762"/>
      <c r="AG11" s="762"/>
      <c r="AH11" s="762"/>
      <c r="AI11" s="762"/>
      <c r="AJ11" s="762"/>
      <c r="AK11" s="762"/>
      <c r="AL11" s="762"/>
      <c r="AM11" s="762"/>
    </row>
    <row r="12" spans="1:41" ht="15" customHeight="1" x14ac:dyDescent="0.25">
      <c r="C12" s="692"/>
      <c r="D12" s="105"/>
      <c r="E12" s="200" t="s">
        <v>342</v>
      </c>
      <c r="F12" s="105"/>
      <c r="G12" s="105"/>
      <c r="H12" s="105"/>
      <c r="I12" s="105"/>
      <c r="J12" s="763" t="str">
        <f ca="1">"Evolução Física "&amp;CHOOSE(MATCH(RegimeExecucao,{"Unitário","Global"},0),"(Qtde.)","(%)")</f>
        <v>Evolução Física (Qtde.)</v>
      </c>
      <c r="K12" s="763"/>
      <c r="L12" s="763"/>
      <c r="M12" s="763" t="s">
        <v>343</v>
      </c>
      <c r="N12" s="763"/>
      <c r="O12" s="763"/>
      <c r="Q12" s="764" t="str">
        <f ca="1">"Aferido (CAIXA) "&amp;CHOOSE(MATCH(RegimeExecucao,{"Unitário","Global"},0),"(Qtde.)","(%)")</f>
        <v>Aferido (CAIXA) (Qtde.)</v>
      </c>
      <c r="R12" s="764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(abra o arquivo 'Referência 05-2023.xls)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71" t="str">
        <f>"Objeto do CTEF: "&amp;Import.DescLote</f>
        <v xml:space="preserve">Objeto do CTEF: </v>
      </c>
      <c r="E15" s="771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7" t="str">
        <f ca="1">"Preencher abaixo com a "&amp;CHOOSE(MATCH(RegimeExecucao,{"Unitário","Global"},0),"QUANTIDADE","PORCENTAGEM")&amp;" executada no PERÍODO"</f>
        <v>Preencher abaixo com a QUANTIDADE executada no PERÍODO</v>
      </c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</row>
    <row r="16" spans="1:41" x14ac:dyDescent="0.2">
      <c r="A16">
        <f ca="1">ORÇAMENTO!C16</f>
        <v>1</v>
      </c>
      <c r="B16">
        <f ca="1">ORÇAMENTO!D16</f>
        <v>250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si="2">ORÇAMENTO.Descricao</f>
        <v>REFORMA DO CENTRO COMUNITÁRIO DE NOVA UNIÃO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599993.04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28</v>
      </c>
      <c r="C17" s="144" t="str">
        <f t="shared" ca="1" si="1"/>
        <v>F</v>
      </c>
      <c r="D17" s="147" t="str">
        <f ca="1">ORÇAMENTO!O17</f>
        <v>1.1.</v>
      </c>
      <c r="E17" s="207" t="str">
        <f t="shared" si="2"/>
        <v>SERVIÇOS PRELIMINARES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24603.99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38.2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(abra o arquivo 'Referência 05-2023.xls)</v>
      </c>
      <c r="F18" s="208" t="str">
        <f t="shared" ca="1" si="3"/>
        <v>-</v>
      </c>
      <c r="G18" s="152">
        <f ca="1">IF(RegimeExecucao="Global","",ORÇAMENTO!T18)</f>
        <v>2.88</v>
      </c>
      <c r="H18" s="152">
        <f ca="1">IF(RegimeExecucao="Global","",ORÇAMENTO!W18)</f>
        <v>310.98</v>
      </c>
      <c r="I18" s="155">
        <f ca="1">ORÇAMENTO!X18</f>
        <v>895.62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(abra o arquivo 'Referência 05-2023.xls)</v>
      </c>
      <c r="F19" s="208" t="str">
        <f t="shared" ca="1" si="3"/>
        <v>-</v>
      </c>
      <c r="G19" s="152">
        <f ca="1">IF(RegimeExecucao="Global","",ORÇAMENTO!T19)</f>
        <v>42</v>
      </c>
      <c r="H19" s="152">
        <f ca="1">IF(RegimeExecucao="Global","",ORÇAMENTO!W19)</f>
        <v>81.739999999999995</v>
      </c>
      <c r="I19" s="155">
        <f ca="1">ORÇAMENTO!X19</f>
        <v>3433.08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>F</v>
      </c>
      <c r="D20" s="147" t="str">
        <f ca="1">ORÇAMENTO!O20</f>
        <v>1.1.3.</v>
      </c>
      <c r="E20" s="207" t="str">
        <f t="shared" ca="1" si="2"/>
        <v>(abra o arquivo 'Referência 05-2023.xls)</v>
      </c>
      <c r="F20" s="208" t="str">
        <f t="shared" ca="1" si="3"/>
        <v>-</v>
      </c>
      <c r="G20" s="152">
        <f ca="1">IF(RegimeExecucao="Global","",ORÇAMENTO!T20)</f>
        <v>95</v>
      </c>
      <c r="H20" s="152">
        <f ca="1">IF(RegimeExecucao="Global","",ORÇAMENTO!W20)</f>
        <v>4.9800000000000004</v>
      </c>
      <c r="I20" s="155">
        <f ca="1">ORÇAMENTO!X20</f>
        <v>473.1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>F</v>
      </c>
      <c r="D21" s="147" t="str">
        <f ca="1">ORÇAMENTO!O21</f>
        <v>1.1.4.</v>
      </c>
      <c r="E21" s="207" t="str">
        <f t="shared" ca="1" si="2"/>
        <v>(abra o arquivo 'Referência 05-2023.xls)</v>
      </c>
      <c r="F21" s="208" t="str">
        <f t="shared" ca="1" si="3"/>
        <v>-</v>
      </c>
      <c r="G21" s="152">
        <f ca="1">IF(RegimeExecucao="Global","",ORÇAMENTO!T21)</f>
        <v>22.2</v>
      </c>
      <c r="H21" s="152">
        <f ca="1">IF(RegimeExecucao="Global","",ORÇAMENTO!W21)</f>
        <v>47.53</v>
      </c>
      <c r="I21" s="155">
        <f ca="1">ORÇAMENTO!X21</f>
        <v>1055.17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ht="25.5" x14ac:dyDescent="0.2">
      <c r="A22" t="str">
        <f ca="1">ORÇAMENTO!C22</f>
        <v>S</v>
      </c>
      <c r="B22">
        <f ca="1">ORÇAMENTO!D22</f>
        <v>0</v>
      </c>
      <c r="C22" s="144" t="str">
        <f t="shared" ca="1" si="1"/>
        <v>F</v>
      </c>
      <c r="D22" s="147" t="str">
        <f ca="1">ORÇAMENTO!O22</f>
        <v>1.1.5.</v>
      </c>
      <c r="E22" s="207" t="str">
        <f t="shared" ca="1" si="2"/>
        <v>(abra o arquivo 'Referência 05-2023.xls)</v>
      </c>
      <c r="F22" s="208" t="str">
        <f t="shared" ca="1" si="3"/>
        <v>-</v>
      </c>
      <c r="G22" s="152">
        <f ca="1">IF(RegimeExecucao="Global","",ORÇAMENTO!T22)</f>
        <v>25.77</v>
      </c>
      <c r="H22" s="152">
        <f ca="1">IF(RegimeExecucao="Global","",ORÇAMENTO!W22)</f>
        <v>13.38</v>
      </c>
      <c r="I22" s="155">
        <f ca="1">ORÇAMENTO!X22</f>
        <v>344.8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25.5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>F</v>
      </c>
      <c r="D23" s="147" t="str">
        <f ca="1">ORÇAMENTO!O23</f>
        <v>1.1.6.</v>
      </c>
      <c r="E23" s="207" t="str">
        <f t="shared" ca="1" si="2"/>
        <v>(abra o arquivo 'Referência 05-2023.xls)</v>
      </c>
      <c r="F23" s="208" t="str">
        <f t="shared" ca="1" si="3"/>
        <v>-</v>
      </c>
      <c r="G23" s="152">
        <f ca="1">IF(RegimeExecucao="Global","",ORÇAMENTO!T23)</f>
        <v>95</v>
      </c>
      <c r="H23" s="152">
        <f ca="1">IF(RegimeExecucao="Global","",ORÇAMENTO!W23)</f>
        <v>10.71</v>
      </c>
      <c r="I23" s="155">
        <f ca="1">ORÇAMENTO!X23</f>
        <v>1017.45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25.5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1.1.7.</v>
      </c>
      <c r="E24" s="207" t="str">
        <f t="shared" ca="1" si="2"/>
        <v>(abra o arquivo 'Referência 05-2023.xls)</v>
      </c>
      <c r="F24" s="208" t="str">
        <f t="shared" ca="1" si="3"/>
        <v>-</v>
      </c>
      <c r="G24" s="152">
        <f ca="1">IF(RegimeExecucao="Global","",ORÇAMENTO!T24)</f>
        <v>14</v>
      </c>
      <c r="H24" s="152">
        <f ca="1">IF(RegimeExecucao="Global","",ORÇAMENTO!W24)</f>
        <v>17.7</v>
      </c>
      <c r="I24" s="155">
        <f ca="1">ORÇAMENTO!X24</f>
        <v>247.8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25.5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1.1.8.</v>
      </c>
      <c r="E25" s="207" t="str">
        <f t="shared" ca="1" si="2"/>
        <v>(abra o arquivo 'Referência 05-2023.xls)</v>
      </c>
      <c r="F25" s="208" t="str">
        <f t="shared" ca="1" si="3"/>
        <v>-</v>
      </c>
      <c r="G25" s="152">
        <f ca="1">IF(RegimeExecucao="Global","",ORÇAMENTO!T25)</f>
        <v>150</v>
      </c>
      <c r="H25" s="152">
        <f ca="1">IF(RegimeExecucao="Global","",ORÇAMENTO!W25)</f>
        <v>0.97</v>
      </c>
      <c r="I25" s="155">
        <f ca="1">ORÇAMENTO!X25</f>
        <v>145.5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25.5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1.1.9.</v>
      </c>
      <c r="E26" s="207" t="str">
        <f t="shared" ca="1" si="2"/>
        <v>(abra o arquivo 'Referência 05-2023.xls)</v>
      </c>
      <c r="F26" s="208" t="str">
        <f t="shared" ca="1" si="3"/>
        <v>-</v>
      </c>
      <c r="G26" s="152">
        <f ca="1">IF(RegimeExecucao="Global","",ORÇAMENTO!T26)</f>
        <v>40</v>
      </c>
      <c r="H26" s="152">
        <f ca="1">IF(RegimeExecucao="Global","",ORÇAMENTO!W26)</f>
        <v>0.71</v>
      </c>
      <c r="I26" s="155">
        <f ca="1">ORÇAMENTO!X26</f>
        <v>28.4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25.5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>F</v>
      </c>
      <c r="D27" s="147" t="str">
        <f ca="1">ORÇAMENTO!O27</f>
        <v>1.1.10.</v>
      </c>
      <c r="E27" s="207" t="str">
        <f t="shared" ca="1" si="2"/>
        <v>(abra o arquivo 'Referência 05-2023.xls)</v>
      </c>
      <c r="F27" s="208" t="str">
        <f t="shared" ca="1" si="3"/>
        <v>-</v>
      </c>
      <c r="G27" s="152">
        <f ca="1">IF(RegimeExecucao="Global","",ORÇAMENTO!T27)</f>
        <v>95</v>
      </c>
      <c r="H27" s="152">
        <f ca="1">IF(RegimeExecucao="Global","",ORÇAMENTO!W27)</f>
        <v>2.5299999999999998</v>
      </c>
      <c r="I27" s="155">
        <f ca="1">ORÇAMENTO!X27</f>
        <v>240.35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38.25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>F</v>
      </c>
      <c r="D28" s="147" t="str">
        <f ca="1">ORÇAMENTO!O28</f>
        <v>1.1.11.</v>
      </c>
      <c r="E28" s="207" t="str">
        <f t="shared" ca="1" si="2"/>
        <v>(abra o arquivo 'Referência 05-2023.xls)</v>
      </c>
      <c r="F28" s="208" t="str">
        <f t="shared" ca="1" si="3"/>
        <v>-</v>
      </c>
      <c r="G28" s="152">
        <f ca="1">IF(RegimeExecucao="Global","",ORÇAMENTO!T28)</f>
        <v>72</v>
      </c>
      <c r="H28" s="152">
        <f ca="1">IF(RegimeExecucao="Global","",ORÇAMENTO!W28)</f>
        <v>86.1</v>
      </c>
      <c r="I28" s="155">
        <f ca="1">ORÇAMENTO!X28</f>
        <v>6199.2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>F</v>
      </c>
      <c r="D29" s="147" t="str">
        <f ca="1">ORÇAMENTO!O29</f>
        <v>1.1.12.</v>
      </c>
      <c r="E29" s="207" t="str">
        <f t="shared" ca="1" si="2"/>
        <v>(abra o arquivo 'Referência 05-2023.xls)</v>
      </c>
      <c r="F29" s="208" t="str">
        <f t="shared" ca="1" si="3"/>
        <v>-</v>
      </c>
      <c r="G29" s="152">
        <f ca="1">IF(RegimeExecucao="Global","",ORÇAMENTO!T29)</f>
        <v>48</v>
      </c>
      <c r="H29" s="152">
        <f ca="1">IF(RegimeExecucao="Global","",ORÇAMENTO!W29)</f>
        <v>219.24</v>
      </c>
      <c r="I29" s="155">
        <f ca="1">ORÇAMENTO!X29</f>
        <v>10523.52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/>
      </c>
      <c r="D30" s="147" t="str">
        <f ca="1">ORÇAMENTO!O30</f>
        <v>-</v>
      </c>
      <c r="E30" s="207" t="str">
        <f t="shared" ca="1" si="2"/>
        <v>(abra o arquivo 'Referência 05-2023.xls)</v>
      </c>
      <c r="F30" s="208" t="str">
        <f t="shared" ca="1" si="3"/>
        <v>-</v>
      </c>
      <c r="G30" s="152">
        <f ca="1">IF(RegimeExecucao="Global","",ORÇAMENTO!T30)</f>
        <v>0</v>
      </c>
      <c r="H30" s="152">
        <f ca="1">IF(RegimeExecucao="Global","",ORÇAMENTO!W30)</f>
        <v>0</v>
      </c>
      <c r="I30" s="155">
        <f ca="1">ORÇAMENTO!X30</f>
        <v>0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/>
      </c>
      <c r="D31" s="147" t="str">
        <f ca="1">ORÇAMENTO!O31</f>
        <v>-</v>
      </c>
      <c r="E31" s="207" t="str">
        <f t="shared" ca="1" si="2"/>
        <v>(abra o arquivo 'Referência 05-2023.xls)</v>
      </c>
      <c r="F31" s="208" t="str">
        <f t="shared" ca="1" si="3"/>
        <v>-</v>
      </c>
      <c r="G31" s="152">
        <f ca="1">IF(RegimeExecucao="Global","",ORÇAMENTO!T31)</f>
        <v>0</v>
      </c>
      <c r="H31" s="152">
        <f ca="1">IF(RegimeExecucao="Global","",ORÇAMENTO!W31)</f>
        <v>0</v>
      </c>
      <c r="I31" s="155">
        <f ca="1">ORÇAMENTO!X31</f>
        <v>0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 t="str">
        <f t="shared" ca="1" si="2"/>
        <v>(abra o arquivo 'Referência 05-2023.xls)</v>
      </c>
      <c r="F32" s="208" t="str">
        <f t="shared" ca="1" si="3"/>
        <v>-</v>
      </c>
      <c r="G32" s="152">
        <f ca="1">IF(RegimeExecucao="Global","",ORÇAMENTO!T32)</f>
        <v>0</v>
      </c>
      <c r="H32" s="152">
        <f ca="1">IF(RegimeExecucao="Global","",ORÇAMENTO!W32)</f>
        <v>0</v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(abra o arquivo 'Referência 05-2023.xls)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 t="str">
        <f t="shared" ca="1" si="2"/>
        <v>(abra o arquivo 'Referência 05-2023.xls)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(abra o arquivo 'Referência 05-2023.xls)</v>
      </c>
      <c r="F35" s="208" t="str">
        <f t="shared" ca="1" si="3"/>
        <v>-</v>
      </c>
      <c r="G35" s="152">
        <f ca="1">IF(RegimeExecucao="Global","",ORÇAMENTO!T35)</f>
        <v>0</v>
      </c>
      <c r="H35" s="152">
        <f ca="1">IF(RegimeExecucao="Global","",ORÇAMENTO!W35)</f>
        <v>0</v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/>
      </c>
      <c r="D36" s="147" t="str">
        <f ca="1">ORÇAMENTO!O36</f>
        <v>-</v>
      </c>
      <c r="E36" s="207" t="str">
        <f t="shared" ca="1" si="2"/>
        <v>(abra o arquivo 'Referência 05-2023.xls)</v>
      </c>
      <c r="F36" s="208" t="str">
        <f t="shared" ca="1" si="3"/>
        <v>-</v>
      </c>
      <c r="G36" s="152">
        <f ca="1">IF(RegimeExecucao="Global","",ORÇAMENTO!T36)</f>
        <v>0</v>
      </c>
      <c r="H36" s="152">
        <f ca="1">IF(RegimeExecucao="Global","",ORÇAMENTO!W36)</f>
        <v>0</v>
      </c>
      <c r="I36" s="155">
        <f ca="1">ORÇAMENTO!X36</f>
        <v>0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/>
      </c>
      <c r="D37" s="147" t="str">
        <f ca="1">ORÇAMENTO!O37</f>
        <v>-</v>
      </c>
      <c r="E37" s="207" t="str">
        <f t="shared" ca="1" si="2"/>
        <v>(abra o arquivo 'Referência 05-2023.xls)</v>
      </c>
      <c r="F37" s="208" t="str">
        <f t="shared" ca="1" si="3"/>
        <v>-</v>
      </c>
      <c r="G37" s="152">
        <f ca="1">IF(RegimeExecucao="Global","",ORÇAMENTO!T37)</f>
        <v>0</v>
      </c>
      <c r="H37" s="152">
        <f ca="1">IF(RegimeExecucao="Global","",ORÇAMENTO!W37)</f>
        <v>0</v>
      </c>
      <c r="I37" s="155">
        <f ca="1">ORÇAMENTO!X37</f>
        <v>0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/>
      </c>
      <c r="D38" s="147" t="str">
        <f ca="1">ORÇAMENTO!O38</f>
        <v>-</v>
      </c>
      <c r="E38" s="207" t="str">
        <f t="shared" ca="1" si="2"/>
        <v>(abra o arquivo 'Referência 05-2023.xls)</v>
      </c>
      <c r="F38" s="208" t="str">
        <f t="shared" ca="1" si="3"/>
        <v>-</v>
      </c>
      <c r="G38" s="152">
        <f ca="1">IF(RegimeExecucao="Global","",ORÇAMENTO!T38)</f>
        <v>0</v>
      </c>
      <c r="H38" s="152">
        <f ca="1">IF(RegimeExecucao="Global","",ORÇAMENTO!W38)</f>
        <v>0</v>
      </c>
      <c r="I38" s="155">
        <f ca="1">ORÇAMENTO!X38</f>
        <v>0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/>
      </c>
      <c r="D39" s="147" t="str">
        <f ca="1">ORÇAMENTO!O39</f>
        <v>-</v>
      </c>
      <c r="E39" s="207" t="str">
        <f t="shared" ca="1" si="2"/>
        <v>(abra o arquivo 'Referência 05-2023.xls)</v>
      </c>
      <c r="F39" s="208" t="str">
        <f t="shared" ca="1" si="3"/>
        <v>-</v>
      </c>
      <c r="G39" s="152">
        <f ca="1">IF(RegimeExecucao="Global","",ORÇAMENTO!T39)</f>
        <v>0</v>
      </c>
      <c r="H39" s="152">
        <f ca="1">IF(RegimeExecucao="Global","",ORÇAMENTO!W39)</f>
        <v>0</v>
      </c>
      <c r="I39" s="155">
        <f ca="1">ORÇAMENTO!X39</f>
        <v>0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(abra o arquivo 'Referência 05-2023.xls)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(abra o arquivo 'Referência 05-2023.xls)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/>
      </c>
      <c r="D42" s="147" t="str">
        <f ca="1">ORÇAMENTO!O42</f>
        <v>-</v>
      </c>
      <c r="E42" s="207" t="str">
        <f t="shared" ca="1" si="2"/>
        <v>(abra o arquivo 'Referência 05-2023.xls)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0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/>
      </c>
      <c r="D43" s="147" t="str">
        <f ca="1">ORÇAMENTO!O43</f>
        <v>-</v>
      </c>
      <c r="E43" s="207" t="str">
        <f t="shared" ca="1" si="2"/>
        <v>(abra o arquivo 'Referência 05-2023.xls)</v>
      </c>
      <c r="F43" s="208" t="str">
        <f t="shared" ca="1" si="3"/>
        <v>-</v>
      </c>
      <c r="G43" s="152">
        <f ca="1">IF(RegimeExecucao="Global","",ORÇAMENTO!T43)</f>
        <v>0</v>
      </c>
      <c r="H43" s="152">
        <f ca="1">IF(RegimeExecucao="Global","",ORÇAMENTO!W43)</f>
        <v>0</v>
      </c>
      <c r="I43" s="155">
        <f ca="1">ORÇAMENTO!X43</f>
        <v>0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(abra o arquivo 'Referência 05-2023.xls)</v>
      </c>
      <c r="F44" s="208" t="str">
        <f t="shared" ca="1" si="3"/>
        <v>-</v>
      </c>
      <c r="G44" s="152">
        <f ca="1">IF(RegimeExecucao="Global","",ORÇAMENTO!T44)</f>
        <v>0</v>
      </c>
      <c r="H44" s="152">
        <f ca="1">IF(RegimeExecucao="Global","",ORÇAMENTO!W44)</f>
        <v>0</v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>
        <f ca="1">ORÇAMENTO!C45</f>
        <v>2</v>
      </c>
      <c r="B45">
        <f ca="1">ORÇAMENTO!D45</f>
        <v>25</v>
      </c>
      <c r="C45" s="144" t="str">
        <f t="shared" ca="1" si="1"/>
        <v>F</v>
      </c>
      <c r="D45" s="147" t="str">
        <f ca="1">ORÇAMENTO!O45</f>
        <v>1.2.</v>
      </c>
      <c r="E45" s="207" t="str">
        <f t="shared" si="2"/>
        <v>INFRAESTRUTURA</v>
      </c>
      <c r="F45" s="208" t="str">
        <f t="shared" ca="1" si="3"/>
        <v>-</v>
      </c>
      <c r="G45" s="152">
        <f ca="1">IF(RegimeExecucao="Global","",ORÇAMENTO!T45)</f>
        <v>0</v>
      </c>
      <c r="H45" s="152">
        <f ca="1">IF(RegimeExecucao="Global","",ORÇAMENTO!W45)</f>
        <v>0</v>
      </c>
      <c r="I45" s="155">
        <f ca="1">ORÇAMENTO!X45</f>
        <v>14881.38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ht="38.25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>F</v>
      </c>
      <c r="D46" s="147" t="str">
        <f ca="1">ORÇAMENTO!O46</f>
        <v>1.2.1.</v>
      </c>
      <c r="E46" s="207" t="str">
        <f t="shared" ca="1" si="2"/>
        <v>(abra o arquivo 'Referência 05-2023.xls)</v>
      </c>
      <c r="F46" s="208" t="str">
        <f t="shared" ca="1" si="3"/>
        <v>-</v>
      </c>
      <c r="G46" s="152">
        <f ca="1">IF(RegimeExecucao="Global","",ORÇAMENTO!T46)</f>
        <v>48</v>
      </c>
      <c r="H46" s="152">
        <f ca="1">IF(RegimeExecucao="Global","",ORÇAMENTO!W46)</f>
        <v>153.01</v>
      </c>
      <c r="I46" s="155">
        <f ca="1">ORÇAMENTO!X46</f>
        <v>7344.48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ht="38.25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>F</v>
      </c>
      <c r="D47" s="147" t="str">
        <f ca="1">ORÇAMENTO!O47</f>
        <v>1.2.2.</v>
      </c>
      <c r="E47" s="207" t="str">
        <f t="shared" ca="1" si="2"/>
        <v>(abra o arquivo 'Referência 05-2023.xls)</v>
      </c>
      <c r="F47" s="208" t="str">
        <f t="shared" ca="1" si="3"/>
        <v>-</v>
      </c>
      <c r="G47" s="152">
        <f ca="1">IF(RegimeExecucao="Global","",ORÇAMENTO!T47)</f>
        <v>3.45</v>
      </c>
      <c r="H47" s="152">
        <f ca="1">IF(RegimeExecucao="Global","",ORÇAMENTO!W47)</f>
        <v>572.77</v>
      </c>
      <c r="I47" s="155">
        <f ca="1">ORÇAMENTO!X47</f>
        <v>1976.06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(abra o arquivo 'Referência 05-2023.xls)</v>
      </c>
      <c r="F48" s="208" t="str">
        <f t="shared" ca="1" si="3"/>
        <v>-</v>
      </c>
      <c r="G48" s="152">
        <f ca="1">IF(RegimeExecucao="Global","",ORÇAMENTO!T48)</f>
        <v>0</v>
      </c>
      <c r="H48" s="152">
        <f ca="1">IF(RegimeExecucao="Global","",ORÇAMENTO!W48)</f>
        <v>0</v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25.5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>F</v>
      </c>
      <c r="D49" s="147" t="str">
        <f ca="1">ORÇAMENTO!O49</f>
        <v>1.2.3.</v>
      </c>
      <c r="E49" s="207" t="str">
        <f t="shared" ca="1" si="2"/>
        <v>(abra o arquivo 'Referência 05-2023.xls)</v>
      </c>
      <c r="F49" s="208" t="str">
        <f t="shared" ca="1" si="3"/>
        <v>-</v>
      </c>
      <c r="G49" s="152">
        <f ca="1">IF(RegimeExecucao="Global","",ORÇAMENTO!T49)</f>
        <v>101.8</v>
      </c>
      <c r="H49" s="152">
        <f ca="1">IF(RegimeExecucao="Global","",ORÇAMENTO!W49)</f>
        <v>16.97</v>
      </c>
      <c r="I49" s="155">
        <f ca="1">ORÇAMENTO!X49</f>
        <v>1727.55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ht="38.25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>F</v>
      </c>
      <c r="D50" s="147" t="str">
        <f ca="1">ORÇAMENTO!O50</f>
        <v>1.2.4.</v>
      </c>
      <c r="E50" s="207" t="str">
        <f t="shared" ca="1" si="2"/>
        <v>(abra o arquivo 'Referência 05-2023.xls)</v>
      </c>
      <c r="F50" s="208" t="str">
        <f t="shared" ca="1" si="3"/>
        <v>-</v>
      </c>
      <c r="G50" s="152">
        <f ca="1">IF(RegimeExecucao="Global","",ORÇAMENTO!T50)</f>
        <v>3.42</v>
      </c>
      <c r="H50" s="152">
        <f ca="1">IF(RegimeExecucao="Global","",ORÇAMENTO!W50)</f>
        <v>842.59</v>
      </c>
      <c r="I50" s="155">
        <f ca="1">ORÇAMENTO!X50</f>
        <v>2881.66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ht="25.5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>F</v>
      </c>
      <c r="D51" s="147" t="str">
        <f ca="1">ORÇAMENTO!O51</f>
        <v>1.2.5.</v>
      </c>
      <c r="E51" s="207" t="str">
        <f t="shared" ca="1" si="2"/>
        <v>(abra o arquivo 'Referência 05-2023.xls)</v>
      </c>
      <c r="F51" s="208" t="str">
        <f t="shared" ca="1" si="3"/>
        <v>-</v>
      </c>
      <c r="G51" s="152">
        <f ca="1">IF(RegimeExecucao="Global","",ORÇAMENTO!T51)</f>
        <v>7.66</v>
      </c>
      <c r="H51" s="152">
        <f ca="1">IF(RegimeExecucao="Global","",ORÇAMENTO!W51)</f>
        <v>23.96</v>
      </c>
      <c r="I51" s="155">
        <f ca="1">ORÇAMENTO!X51</f>
        <v>183.53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(abra o arquivo 'Referência 05-2023.xls)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ht="25.5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>F</v>
      </c>
      <c r="D53" s="147" t="str">
        <f ca="1">ORÇAMENTO!O53</f>
        <v>1.2.6.</v>
      </c>
      <c r="E53" s="207" t="str">
        <f t="shared" ca="1" si="2"/>
        <v>(abra o arquivo 'Referência 05-2023.xls)</v>
      </c>
      <c r="F53" s="208" t="str">
        <f t="shared" ca="1" si="3"/>
        <v>-</v>
      </c>
      <c r="G53" s="152">
        <f ca="1">IF(RegimeExecucao="Global","",ORÇAMENTO!T53)</f>
        <v>7.2</v>
      </c>
      <c r="H53" s="152">
        <f ca="1">IF(RegimeExecucao="Global","",ORÇAMENTO!W53)</f>
        <v>106.68</v>
      </c>
      <c r="I53" s="155">
        <f ca="1">ORÇAMENTO!X53</f>
        <v>768.1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(abra o arquivo 'Referência 05-2023.xls)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(abra o arquivo 'Referência 05-2023.xls)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(abra o arquivo 'Referência 05-2023.xls)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(abra o arquivo 'Referência 05-2023.xls)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(abra o arquivo 'Referência 05-2023.xls)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(abra o arquivo 'Referência 05-2023.xls)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(abra o arquivo 'Referência 05-2023.xls)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(abra o arquivo 'Referência 05-2023.xls)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(abra o arquivo 'Referência 05-2023.xls)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(abra o arquivo 'Referência 05-2023.xls)</v>
      </c>
      <c r="F63" s="208" t="str">
        <f t="shared" ca="1" si="3"/>
        <v>-</v>
      </c>
      <c r="G63" s="152">
        <f ca="1">IF(RegimeExecucao="Global","",ORÇAMENTO!T63)</f>
        <v>0</v>
      </c>
      <c r="H63" s="152">
        <f ca="1">IF(RegimeExecucao="Global","",ORÇAMENTO!W63)</f>
        <v>0</v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(abra o arquivo 'Referência 05-2023.xls)</v>
      </c>
      <c r="F64" s="208" t="str">
        <f t="shared" ca="1" si="3"/>
        <v>-</v>
      </c>
      <c r="G64" s="152">
        <f ca="1">IF(RegimeExecucao="Global","",ORÇAMENTO!T64)</f>
        <v>0</v>
      </c>
      <c r="H64" s="152">
        <f ca="1">IF(RegimeExecucao="Global","",ORÇAMENTO!W64)</f>
        <v>0</v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(abra o arquivo 'Referência 05-2023.xls)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(abra o arquivo 'Referência 05-2023.xls)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(abra o arquivo 'Referência 05-2023.xls)</v>
      </c>
      <c r="F67" s="208" t="str">
        <f t="shared" ca="1" si="3"/>
        <v>-</v>
      </c>
      <c r="G67" s="152">
        <f ca="1">IF(RegimeExecucao="Global","",ORÇAMENTO!T67)</f>
        <v>0</v>
      </c>
      <c r="H67" s="152">
        <f ca="1">IF(RegimeExecucao="Global","",ORÇAMENTO!W67)</f>
        <v>0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(abra o arquivo 'Referência 05-2023.xls)</v>
      </c>
      <c r="F68" s="208" t="str">
        <f t="shared" ca="1" si="3"/>
        <v>-</v>
      </c>
      <c r="G68" s="152">
        <f ca="1">IF(RegimeExecucao="Global","",ORÇAMENTO!T68)</f>
        <v>0</v>
      </c>
      <c r="H68" s="152">
        <f ca="1">IF(RegimeExecucao="Global","",ORÇAMENTO!W68)</f>
        <v>0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(abra o arquivo 'Referência 05-2023.xls)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>
        <f ca="1">ORÇAMENTO!C70</f>
        <v>2</v>
      </c>
      <c r="B70">
        <f ca="1">ORÇAMENTO!D70</f>
        <v>35</v>
      </c>
      <c r="C70" s="144" t="str">
        <f t="shared" ca="1" si="1"/>
        <v>F</v>
      </c>
      <c r="D70" s="147" t="str">
        <f ca="1">ORÇAMENTO!O70</f>
        <v>1.3.</v>
      </c>
      <c r="E70" s="207" t="str">
        <f t="shared" si="2"/>
        <v>SUPRAESTRUTURA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32037.71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ht="38.25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>F</v>
      </c>
      <c r="D71" s="147" t="str">
        <f ca="1">ORÇAMENTO!O71</f>
        <v>1.3.1.</v>
      </c>
      <c r="E71" s="207" t="str">
        <f t="shared" ca="1" si="2"/>
        <v>(abra o arquivo 'Referência 05-2023.xls)</v>
      </c>
      <c r="F71" s="208" t="str">
        <f t="shared" ca="1" si="3"/>
        <v>-</v>
      </c>
      <c r="G71" s="152">
        <f ca="1">IF(RegimeExecucao="Global","",ORÇAMENTO!T71)</f>
        <v>6.75</v>
      </c>
      <c r="H71" s="152">
        <f ca="1">IF(RegimeExecucao="Global","",ORÇAMENTO!W71)</f>
        <v>572.77</v>
      </c>
      <c r="I71" s="155">
        <f ca="1">ORÇAMENTO!X71</f>
        <v>3866.2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ht="38.25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>F</v>
      </c>
      <c r="D72" s="147" t="str">
        <f ca="1">ORÇAMENTO!O72</f>
        <v>1.3.2.</v>
      </c>
      <c r="E72" s="207" t="str">
        <f t="shared" ca="1" si="2"/>
        <v>(abra o arquivo 'Referência 05-2023.xls)</v>
      </c>
      <c r="F72" s="208" t="str">
        <f t="shared" ca="1" si="3"/>
        <v>-</v>
      </c>
      <c r="G72" s="152">
        <f ca="1">IF(RegimeExecucao="Global","",ORÇAMENTO!T72)</f>
        <v>134.69999999999999</v>
      </c>
      <c r="H72" s="152">
        <f ca="1">IF(RegimeExecucao="Global","",ORÇAMENTO!W72)</f>
        <v>119.86</v>
      </c>
      <c r="I72" s="155">
        <f ca="1">ORÇAMENTO!X72</f>
        <v>16145.14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(abra o arquivo 'Referência 05-2023.xls)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(abra o arquivo 'Referência 05-2023.xls)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(abra o arquivo 'Referência 05-2023.xls)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ht="25.5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>F</v>
      </c>
      <c r="D76" s="147" t="str">
        <f ca="1">ORÇAMENTO!O76</f>
        <v>1.3.3.</v>
      </c>
      <c r="E76" s="207" t="str">
        <f t="shared" ca="1" si="2"/>
        <v>(abra o arquivo 'Referência 05-2023.xls)</v>
      </c>
      <c r="F76" s="208" t="str">
        <f t="shared" ca="1" si="3"/>
        <v>-</v>
      </c>
      <c r="G76" s="152">
        <f ca="1">IF(RegimeExecucao="Global","",ORÇAMENTO!T76)</f>
        <v>172</v>
      </c>
      <c r="H76" s="152">
        <f ca="1">IF(RegimeExecucao="Global","",ORÇAMENTO!W76)</f>
        <v>23.96</v>
      </c>
      <c r="I76" s="155">
        <f ca="1">ORÇAMENTO!X76</f>
        <v>4121.12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ht="25.5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>F</v>
      </c>
      <c r="D77" s="147" t="str">
        <f ca="1">ORÇAMENTO!O77</f>
        <v>1.3.4.</v>
      </c>
      <c r="E77" s="207" t="str">
        <f t="shared" ca="1" si="2"/>
        <v>(abra o arquivo 'Referência 05-2023.xls)</v>
      </c>
      <c r="F77" s="208" t="str">
        <f t="shared" ca="1" si="3"/>
        <v>-</v>
      </c>
      <c r="G77" s="152">
        <f ca="1">IF(RegimeExecucao="Global","",ORÇAMENTO!T77)</f>
        <v>231.8</v>
      </c>
      <c r="H77" s="152">
        <f ca="1">IF(RegimeExecucao="Global","",ORÇAMENTO!W77)</f>
        <v>19.39</v>
      </c>
      <c r="I77" s="155">
        <f ca="1">ORÇAMENTO!X77</f>
        <v>4494.6000000000004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ht="25.5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>F</v>
      </c>
      <c r="D78" s="147" t="str">
        <f ca="1">ORÇAMENTO!O78</f>
        <v>1.3.5.</v>
      </c>
      <c r="E78" s="207" t="str">
        <f t="shared" ca="1" si="2"/>
        <v>(abra o arquivo 'Referência 05-2023.xls)</v>
      </c>
      <c r="F78" s="208" t="str">
        <f t="shared" ca="1" si="3"/>
        <v>-</v>
      </c>
      <c r="G78" s="152">
        <f ca="1">IF(RegimeExecucao="Global","",ORÇAMENTO!T78)</f>
        <v>197.5</v>
      </c>
      <c r="H78" s="152">
        <f ca="1">IF(RegimeExecucao="Global","",ORÇAMENTO!W78)</f>
        <v>16.97</v>
      </c>
      <c r="I78" s="155">
        <f ca="1">ORÇAMENTO!X78</f>
        <v>3351.58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(abra o arquivo 'Referência 05-2023.xls)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(abra o arquivo 'Referência 05-2023.xls)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0</v>
      </c>
      <c r="H80" s="152">
        <f ca="1">IF(RegimeExecucao="Global","",ORÇAMENTO!W80)</f>
        <v>0</v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(abra o arquivo 'Referência 05-2023.xls)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ht="25.5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>F</v>
      </c>
      <c r="D82" s="147" t="str">
        <f ca="1">ORÇAMENTO!O82</f>
        <v>1.3.6.</v>
      </c>
      <c r="E82" s="207" t="str">
        <f t="shared" ca="1" si="13"/>
        <v>(abra o arquivo 'Referência 05-2023.xls)</v>
      </c>
      <c r="F82" s="208" t="str">
        <f t="shared" ca="1" si="14"/>
        <v>-</v>
      </c>
      <c r="G82" s="152">
        <f ca="1">IF(RegimeExecucao="Global","",ORÇAMENTO!T82)</f>
        <v>2.75</v>
      </c>
      <c r="H82" s="152">
        <f ca="1">IF(RegimeExecucao="Global","",ORÇAMENTO!W82)</f>
        <v>21.48</v>
      </c>
      <c r="I82" s="155">
        <f ca="1">ORÇAMENTO!X82</f>
        <v>59.07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(abra o arquivo 'Referência 05-2023.xls)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0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(abra o arquivo 'Referência 05-2023.xls)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(abra o arquivo 'Referência 05-2023.xls)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(abra o arquivo 'Referência 05-2023.xls)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(abra o arquivo 'Referência 05-2023.xls)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(abra o arquivo 'Referência 05-2023.xls)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(abra o arquivo 'Referência 05-2023.xls)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(abra o arquivo 'Referência 05-2023.xls)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(abra o arquivo 'Referência 05-2023.xls)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(abra o arquivo 'Referência 05-2023.xls)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(abra o arquivo 'Referência 05-2023.xls)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(abra o arquivo 'Referência 05-2023.xls)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(abra o arquivo 'Referência 05-2023.xls)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(abra o arquivo 'Referência 05-2023.xls)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(abra o arquivo 'Referência 05-2023.xls)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(abra o arquivo 'Referência 05-2023.xls)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(abra o arquivo 'Referência 05-2023.xls)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(abra o arquivo 'Referência 05-2023.xls)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(abra o arquivo 'Referência 05-2023.xls)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(abra o arquivo 'Referência 05-2023.xls)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(abra o arquivo 'Referência 05-2023.xls)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(abra o arquivo 'Referência 05-2023.xls)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>
        <f ca="1">ORÇAMENTO!C105</f>
        <v>2</v>
      </c>
      <c r="B105">
        <f ca="1">ORÇAMENTO!D105</f>
        <v>21</v>
      </c>
      <c r="C105" s="144" t="str">
        <f t="shared" ca="1" si="12"/>
        <v>F</v>
      </c>
      <c r="D105" s="147" t="str">
        <f ca="1">ORÇAMENTO!O105</f>
        <v>1.4.</v>
      </c>
      <c r="E105" s="207" t="str">
        <f t="shared" si="13"/>
        <v>ALVENARIA/ PAREDES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64380.74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ht="5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>F</v>
      </c>
      <c r="D106" s="147" t="str">
        <f ca="1">ORÇAMENTO!O106</f>
        <v>1.4.1.</v>
      </c>
      <c r="E106" s="207" t="str">
        <f t="shared" ca="1" si="13"/>
        <v>(abra o arquivo 'Referência 05-2023.xls)</v>
      </c>
      <c r="F106" s="208" t="str">
        <f t="shared" ca="1" si="14"/>
        <v>-</v>
      </c>
      <c r="G106" s="152">
        <f ca="1">IF(RegimeExecucao="Global","",ORÇAMENTO!T106)</f>
        <v>240</v>
      </c>
      <c r="H106" s="152">
        <f ca="1">IF(RegimeExecucao="Global","",ORÇAMENTO!W106)</f>
        <v>113.36</v>
      </c>
      <c r="I106" s="155">
        <f ca="1">ORÇAMENTO!X106</f>
        <v>27206.400000000001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ht="38.25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>F</v>
      </c>
      <c r="D107" s="147" t="str">
        <f ca="1">ORÇAMENTO!O107</f>
        <v>1.4.2.</v>
      </c>
      <c r="E107" s="207" t="str">
        <f t="shared" ca="1" si="13"/>
        <v>(abra o arquivo 'Referência 05-2023.xls)</v>
      </c>
      <c r="F107" s="208" t="str">
        <f t="shared" ca="1" si="14"/>
        <v>-</v>
      </c>
      <c r="G107" s="152">
        <f ca="1">IF(RegimeExecucao="Global","",ORÇAMENTO!T107)</f>
        <v>686</v>
      </c>
      <c r="H107" s="152">
        <f ca="1">IF(RegimeExecucao="Global","",ORÇAMENTO!W107)</f>
        <v>5.86</v>
      </c>
      <c r="I107" s="155">
        <f ca="1">ORÇAMENTO!X107</f>
        <v>4019.96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ht="5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>F</v>
      </c>
      <c r="D108" s="147" t="str">
        <f ca="1">ORÇAMENTO!O108</f>
        <v>1.4.3.</v>
      </c>
      <c r="E108" s="207" t="str">
        <f t="shared" ca="1" si="13"/>
        <v>(abra o arquivo 'Referência 05-2023.xls)</v>
      </c>
      <c r="F108" s="208" t="str">
        <f t="shared" ca="1" si="14"/>
        <v>-</v>
      </c>
      <c r="G108" s="152">
        <f ca="1">IF(RegimeExecucao="Global","",ORÇAMENTO!T108)</f>
        <v>686</v>
      </c>
      <c r="H108" s="152">
        <f ca="1">IF(RegimeExecucao="Global","",ORÇAMENTO!W108)</f>
        <v>48.33</v>
      </c>
      <c r="I108" s="155">
        <f ca="1">ORÇAMENTO!X108</f>
        <v>33154.379999999997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(abra o arquivo 'Referência 05-2023.xls)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(abra o arquivo 'Referência 05-2023.xls)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(abra o arquivo 'Referência 05-2023.xls)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(abra o arquivo 'Referência 05-2023.xls)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(abra o arquivo 'Referência 05-2023.xls)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(abra o arquivo 'Referência 05-2023.xls)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(abra o arquivo 'Referência 05-2023.xls)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(abra o arquivo 'Referência 05-2023.xls)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(abra o arquivo 'Referência 05-2023.xls)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(abra o arquivo 'Referência 05-2023.xls)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(abra o arquivo 'Referência 05-2023.xls)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(abra o arquivo 'Referência 05-2023.xls)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(abra o arquivo 'Referência 05-2023.xls)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(abra o arquivo 'Referência 05-2023.xls)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(abra o arquivo 'Referência 05-2023.xls)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(abra o arquivo 'Referência 05-2023.xls)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(abra o arquivo 'Referência 05-2023.xls)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>
        <f ca="1">ORÇAMENTO!C126</f>
        <v>2</v>
      </c>
      <c r="B126">
        <f ca="1">ORÇAMENTO!D126</f>
        <v>15</v>
      </c>
      <c r="C126" s="144" t="str">
        <f t="shared" ca="1" si="12"/>
        <v>F</v>
      </c>
      <c r="D126" s="147" t="str">
        <f ca="1">ORÇAMENTO!O126</f>
        <v>1.5.</v>
      </c>
      <c r="E126" s="207" t="str">
        <f t="shared" si="13"/>
        <v>PISO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172690.64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ht="25.5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>F</v>
      </c>
      <c r="D127" s="147" t="str">
        <f ca="1">ORÇAMENTO!O127</f>
        <v>1.5.1.</v>
      </c>
      <c r="E127" s="207" t="str">
        <f t="shared" ca="1" si="13"/>
        <v>(abra o arquivo 'Referência 05-2023.xls)</v>
      </c>
      <c r="F127" s="208" t="str">
        <f t="shared" ca="1" si="14"/>
        <v>-</v>
      </c>
      <c r="G127" s="152">
        <f ca="1">IF(RegimeExecucao="Global","",ORÇAMENTO!T127)</f>
        <v>160</v>
      </c>
      <c r="H127" s="152">
        <f ca="1">IF(RegimeExecucao="Global","",ORÇAMENTO!W127)</f>
        <v>154.72</v>
      </c>
      <c r="I127" s="155">
        <f ca="1">ORÇAMENTO!X127</f>
        <v>24755.200000000001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ht="38.25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>F</v>
      </c>
      <c r="D128" s="147" t="str">
        <f ca="1">ORÇAMENTO!O128</f>
        <v>1.5.2.</v>
      </c>
      <c r="E128" s="207" t="str">
        <f t="shared" ca="1" si="13"/>
        <v>(abra o arquivo 'Referência 05-2023.xls)</v>
      </c>
      <c r="F128" s="208" t="str">
        <f t="shared" ca="1" si="14"/>
        <v>-</v>
      </c>
      <c r="G128" s="152">
        <f ca="1">IF(RegimeExecucao="Global","",ORÇAMENTO!T128)</f>
        <v>110</v>
      </c>
      <c r="H128" s="152">
        <f ca="1">IF(RegimeExecucao="Global","",ORÇAMENTO!W128)</f>
        <v>113.66</v>
      </c>
      <c r="I128" s="155">
        <f ca="1">ORÇAMENTO!X128</f>
        <v>12502.6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ht="25.5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>F</v>
      </c>
      <c r="D129" s="147" t="str">
        <f ca="1">ORÇAMENTO!O129</f>
        <v>1.5.3.</v>
      </c>
      <c r="E129" s="207" t="str">
        <f t="shared" ca="1" si="13"/>
        <v>(abra o arquivo 'Referência 05-2023.xls)</v>
      </c>
      <c r="F129" s="208" t="str">
        <f t="shared" ca="1" si="14"/>
        <v>-</v>
      </c>
      <c r="G129" s="152">
        <f ca="1">IF(RegimeExecucao="Global","",ORÇAMENTO!T129)</f>
        <v>160</v>
      </c>
      <c r="H129" s="152">
        <f ca="1">IF(RegimeExecucao="Global","",ORÇAMENTO!W129)</f>
        <v>38.619999999999997</v>
      </c>
      <c r="I129" s="155">
        <f ca="1">ORÇAMENTO!X129</f>
        <v>6179.2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ht="63.75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>F</v>
      </c>
      <c r="D130" s="147" t="str">
        <f ca="1">ORÇAMENTO!O130</f>
        <v>1.5.4.</v>
      </c>
      <c r="E130" s="207" t="str">
        <f t="shared" ca="1" si="13"/>
        <v>(abra o arquivo 'Referência 05-2023.xls)</v>
      </c>
      <c r="F130" s="208" t="str">
        <f t="shared" ca="1" si="14"/>
        <v>-</v>
      </c>
      <c r="G130" s="152">
        <f ca="1">IF(RegimeExecucao="Global","",ORÇAMENTO!T130)</f>
        <v>810</v>
      </c>
      <c r="H130" s="152">
        <f ca="1">IF(RegimeExecucao="Global","",ORÇAMENTO!W130)</f>
        <v>134.22</v>
      </c>
      <c r="I130" s="155">
        <f ca="1">ORÇAMENTO!X130</f>
        <v>108718.2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(abra o arquivo 'Referência 05-2023.xls)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ht="25.5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>F</v>
      </c>
      <c r="D132" s="147" t="str">
        <f ca="1">ORÇAMENTO!O132</f>
        <v>1.5.5.</v>
      </c>
      <c r="E132" s="207" t="str">
        <f t="shared" ca="1" si="13"/>
        <v>(abra o arquivo 'Referência 05-2023.xls)</v>
      </c>
      <c r="F132" s="208" t="str">
        <f t="shared" ca="1" si="14"/>
        <v>-</v>
      </c>
      <c r="G132" s="152">
        <f ca="1">IF(RegimeExecucao="Global","",ORÇAMENTO!T132)</f>
        <v>785</v>
      </c>
      <c r="H132" s="152">
        <f ca="1">IF(RegimeExecucao="Global","",ORÇAMENTO!W132)</f>
        <v>23.16</v>
      </c>
      <c r="I132" s="155">
        <f ca="1">ORÇAMENTO!X132</f>
        <v>18180.599999999999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ht="25.5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>F</v>
      </c>
      <c r="D133" s="147" t="str">
        <f ca="1">ORÇAMENTO!O133</f>
        <v>1.5.6.</v>
      </c>
      <c r="E133" s="207" t="str">
        <f t="shared" ca="1" si="13"/>
        <v>(abra o arquivo 'Referência 05-2023.xls)</v>
      </c>
      <c r="F133" s="208" t="str">
        <f t="shared" ca="1" si="14"/>
        <v>-</v>
      </c>
      <c r="G133" s="152">
        <f ca="1">IF(RegimeExecucao="Global","",ORÇAMENTO!T133)</f>
        <v>68</v>
      </c>
      <c r="H133" s="152">
        <f ca="1">IF(RegimeExecucao="Global","",ORÇAMENTO!W133)</f>
        <v>34.630000000000003</v>
      </c>
      <c r="I133" s="155">
        <f ca="1">ORÇAMENTO!X133</f>
        <v>2354.84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(abra o arquivo 'Referência 05-2023.xls)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(abra o arquivo 'Referência 05-2023.xls)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(abra o arquivo 'Referência 05-2023.xls)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(abra o arquivo 'Referência 05-2023.xls)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(abra o arquivo 'Referência 05-2023.xls)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(abra o arquivo 'Referência 05-2023.xls)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(abra o arquivo 'Referência 05-2023.xls)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>
        <f ca="1">ORÇAMENTO!C141</f>
        <v>2</v>
      </c>
      <c r="B141">
        <f ca="1">ORÇAMENTO!D141</f>
        <v>16</v>
      </c>
      <c r="C141" s="144" t="str">
        <f t="shared" ca="1" si="12"/>
        <v>F</v>
      </c>
      <c r="D141" s="147" t="str">
        <f ca="1">ORÇAMENTO!O141</f>
        <v>1.6.</v>
      </c>
      <c r="E141" s="207" t="str">
        <f t="shared" si="13"/>
        <v>COBERTURA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38644.18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ht="38.25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>F</v>
      </c>
      <c r="D142" s="147" t="str">
        <f ca="1">ORÇAMENTO!O142</f>
        <v>1.6.1.</v>
      </c>
      <c r="E142" s="207" t="str">
        <f t="shared" ca="1" si="13"/>
        <v>(abra o arquivo 'Referência 05-2023.xls)</v>
      </c>
      <c r="F142" s="208" t="str">
        <f t="shared" ca="1" si="14"/>
        <v>-</v>
      </c>
      <c r="G142" s="152">
        <f ca="1">IF(RegimeExecucao="Global","",ORÇAMENTO!T142)</f>
        <v>3</v>
      </c>
      <c r="H142" s="152">
        <f ca="1">IF(RegimeExecucao="Global","",ORÇAMENTO!W142)</f>
        <v>2794.06</v>
      </c>
      <c r="I142" s="155">
        <f ca="1">ORÇAMENTO!X142</f>
        <v>8382.18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ht="5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>F</v>
      </c>
      <c r="D143" s="147" t="str">
        <f ca="1">ORÇAMENTO!O143</f>
        <v>1.6.2.</v>
      </c>
      <c r="E143" s="207" t="str">
        <f t="shared" ca="1" si="13"/>
        <v>(abra o arquivo 'Referência 05-2023.xls)</v>
      </c>
      <c r="F143" s="208" t="str">
        <f t="shared" ca="1" si="14"/>
        <v>-</v>
      </c>
      <c r="G143" s="152">
        <f ca="1">IF(RegimeExecucao="Global","",ORÇAMENTO!T143)</f>
        <v>109</v>
      </c>
      <c r="H143" s="152">
        <f ca="1">IF(RegimeExecucao="Global","",ORÇAMENTO!W143)</f>
        <v>57.75</v>
      </c>
      <c r="I143" s="155">
        <f ca="1">ORÇAMENTO!X143</f>
        <v>6294.75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ht="5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>F</v>
      </c>
      <c r="D144" s="147" t="str">
        <f ca="1">ORÇAMENTO!O144</f>
        <v>1.6.3.</v>
      </c>
      <c r="E144" s="207" t="str">
        <f t="shared" ref="E144:E207" ca="1" si="24">ORÇAMENTO.Descricao</f>
        <v>(abra o arquivo 'Referência 05-2023.xls)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109</v>
      </c>
      <c r="H144" s="152">
        <f ca="1">IF(RegimeExecucao="Global","",ORÇAMENTO!W144)</f>
        <v>74.19</v>
      </c>
      <c r="I144" s="155">
        <f ca="1">ORÇAMENTO!X144</f>
        <v>8086.71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ht="25.5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>F</v>
      </c>
      <c r="D145" s="147" t="str">
        <f ca="1">ORÇAMENTO!O145</f>
        <v>1.6.4.</v>
      </c>
      <c r="E145" s="207" t="str">
        <f t="shared" ca="1" si="24"/>
        <v>(abra o arquivo 'Referência 05-2023.xls)</v>
      </c>
      <c r="F145" s="208" t="str">
        <f t="shared" ca="1" si="25"/>
        <v>-</v>
      </c>
      <c r="G145" s="152">
        <f ca="1">IF(RegimeExecucao="Global","",ORÇAMENTO!T145)</f>
        <v>109</v>
      </c>
      <c r="H145" s="152">
        <f ca="1">IF(RegimeExecucao="Global","",ORÇAMENTO!W145)</f>
        <v>132.69999999999999</v>
      </c>
      <c r="I145" s="155">
        <f ca="1">ORÇAMENTO!X145</f>
        <v>14464.3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ht="25.5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>F</v>
      </c>
      <c r="D146" s="147" t="str">
        <f ca="1">ORÇAMENTO!O146</f>
        <v>1.6.5.</v>
      </c>
      <c r="E146" s="207" t="str">
        <f t="shared" ca="1" si="24"/>
        <v>(abra o arquivo 'Referência 05-2023.xls)</v>
      </c>
      <c r="F146" s="208" t="str">
        <f t="shared" ca="1" si="25"/>
        <v>-</v>
      </c>
      <c r="G146" s="152">
        <f ca="1">IF(RegimeExecucao="Global","",ORÇAMENTO!T146)</f>
        <v>72</v>
      </c>
      <c r="H146" s="152">
        <f ca="1">IF(RegimeExecucao="Global","",ORÇAMENTO!W146)</f>
        <v>19.670000000000002</v>
      </c>
      <c r="I146" s="155">
        <f ca="1">ORÇAMENTO!X146</f>
        <v>1416.24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(abra o arquivo 'Referência 05-2023.xls)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(abra o arquivo 'Referência 05-2023.xls)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(abra o arquivo 'Referência 05-2023.xls)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(abra o arquivo 'Referência 05-2023.xls)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(abra o arquivo 'Referência 05-2023.xls)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(abra o arquivo 'Referência 05-2023.xls)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(abra o arquivo 'Referência 05-2023.xls)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(abra o arquivo 'Referência 05-2023.xls)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(abra o arquivo 'Referência 05-2023.xls)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(abra o arquivo 'Referência 05-2023.xls)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>
        <f ca="1">ORÇAMENTO!C157</f>
        <v>2</v>
      </c>
      <c r="B157">
        <f ca="1">ORÇAMENTO!D157</f>
        <v>12</v>
      </c>
      <c r="C157" s="144" t="str">
        <f t="shared" ca="1" si="23"/>
        <v>F</v>
      </c>
      <c r="D157" s="147" t="str">
        <f ca="1">ORÇAMENTO!O157</f>
        <v>1.7.</v>
      </c>
      <c r="E157" s="207" t="str">
        <f t="shared" si="24"/>
        <v>PINTURA E REVESTIMENTO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26959.72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ht="38.25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>F</v>
      </c>
      <c r="D158" s="147" t="str">
        <f ca="1">ORÇAMENTO!O158</f>
        <v>1.7.1.</v>
      </c>
      <c r="E158" s="207" t="str">
        <f t="shared" ca="1" si="24"/>
        <v>(abra o arquivo 'Referência 05-2023.xls)</v>
      </c>
      <c r="F158" s="208" t="str">
        <f t="shared" ca="1" si="25"/>
        <v>-</v>
      </c>
      <c r="G158" s="152">
        <f ca="1">IF(RegimeExecucao="Global","",ORÇAMENTO!T158)</f>
        <v>120.32</v>
      </c>
      <c r="H158" s="152">
        <f ca="1">IF(RegimeExecucao="Global","",ORÇAMENTO!W158)</f>
        <v>115.81</v>
      </c>
      <c r="I158" s="155">
        <f ca="1">ORÇAMENTO!X158</f>
        <v>13934.26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ht="25.5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>F</v>
      </c>
      <c r="D159" s="147" t="str">
        <f ca="1">ORÇAMENTO!O159</f>
        <v>1.7.2.</v>
      </c>
      <c r="E159" s="207" t="str">
        <f t="shared" ca="1" si="24"/>
        <v>(abra o arquivo 'Referência 05-2023.xls)</v>
      </c>
      <c r="F159" s="208" t="str">
        <f t="shared" ca="1" si="25"/>
        <v>-</v>
      </c>
      <c r="G159" s="152">
        <f ca="1">IF(RegimeExecucao="Global","",ORÇAMENTO!T159)</f>
        <v>472</v>
      </c>
      <c r="H159" s="152">
        <f ca="1">IF(RegimeExecucao="Global","",ORÇAMENTO!W159)</f>
        <v>13.92</v>
      </c>
      <c r="I159" s="155">
        <f ca="1">ORÇAMENTO!X159</f>
        <v>6570.24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ht="25.5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>F</v>
      </c>
      <c r="D160" s="147" t="str">
        <f ca="1">ORÇAMENTO!O160</f>
        <v>1.7.3.</v>
      </c>
      <c r="E160" s="207" t="str">
        <f t="shared" ca="1" si="24"/>
        <v>(abra o arquivo 'Referência 05-2023.xls)</v>
      </c>
      <c r="F160" s="208" t="str">
        <f t="shared" ca="1" si="25"/>
        <v>-</v>
      </c>
      <c r="G160" s="152">
        <f ca="1">IF(RegimeExecucao="Global","",ORÇAMENTO!T160)</f>
        <v>225</v>
      </c>
      <c r="H160" s="152">
        <f ca="1">IF(RegimeExecucao="Global","",ORÇAMENTO!W160)</f>
        <v>17.25</v>
      </c>
      <c r="I160" s="155">
        <f ca="1">ORÇAMENTO!X160</f>
        <v>3881.25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ht="25.5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>F</v>
      </c>
      <c r="D161" s="147" t="str">
        <f ca="1">ORÇAMENTO!O161</f>
        <v>1.7.4.</v>
      </c>
      <c r="E161" s="207" t="str">
        <f t="shared" ca="1" si="24"/>
        <v>(abra o arquivo 'Referência 05-2023.xls)</v>
      </c>
      <c r="F161" s="208" t="str">
        <f t="shared" ca="1" si="25"/>
        <v>-</v>
      </c>
      <c r="G161" s="152">
        <f ca="1">IF(RegimeExecucao="Global","",ORÇAMENTO!T161)</f>
        <v>147</v>
      </c>
      <c r="H161" s="152">
        <f ca="1">IF(RegimeExecucao="Global","",ORÇAMENTO!W161)</f>
        <v>17.510000000000002</v>
      </c>
      <c r="I161" s="155">
        <f ca="1">ORÇAMENTO!X161</f>
        <v>2573.9699999999998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(abra o arquivo 'Referência 05-2023.xls)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(abra o arquivo 'Referência 05-2023.xls)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(abra o arquivo 'Referência 05-2023.xls)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(abra o arquivo 'Referência 05-2023.xls)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(abra o arquivo 'Referência 05-2023.xls)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(abra o arquivo 'Referência 05-2023.xls)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(abra o arquivo 'Referência 05-2023.xls)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>
        <f ca="1">ORÇAMENTO!C169</f>
        <v>2</v>
      </c>
      <c r="B169">
        <f ca="1">ORÇAMENTO!D169</f>
        <v>8</v>
      </c>
      <c r="C169" s="144" t="str">
        <f t="shared" ca="1" si="23"/>
        <v>F</v>
      </c>
      <c r="D169" s="147" t="str">
        <f ca="1">ORÇAMENTO!O169</f>
        <v>1.8.</v>
      </c>
      <c r="E169" s="207" t="str">
        <f t="shared" si="24"/>
        <v>SERVIÇOS HIDRAULICO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13506.71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ht="38.25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>F</v>
      </c>
      <c r="D170" s="147" t="str">
        <f ca="1">ORÇAMENTO!O170</f>
        <v>1.8.1.</v>
      </c>
      <c r="E170" s="207" t="str">
        <f t="shared" ca="1" si="24"/>
        <v>(abra o arquivo 'Referência 05-2023.xls)</v>
      </c>
      <c r="F170" s="208" t="str">
        <f t="shared" ca="1" si="25"/>
        <v>-</v>
      </c>
      <c r="G170" s="152">
        <f ca="1">IF(RegimeExecucao="Global","",ORÇAMENTO!T170)</f>
        <v>3</v>
      </c>
      <c r="H170" s="152">
        <f ca="1">IF(RegimeExecucao="Global","",ORÇAMENTO!W170)</f>
        <v>134.96</v>
      </c>
      <c r="I170" s="155">
        <f ca="1">ORÇAMENTO!X170</f>
        <v>404.88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ht="38.25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>F</v>
      </c>
      <c r="D171" s="147" t="str">
        <f ca="1">ORÇAMENTO!O171</f>
        <v>1.8.2.</v>
      </c>
      <c r="E171" s="207" t="str">
        <f t="shared" ca="1" si="24"/>
        <v>(abra o arquivo 'Referência 05-2023.xls)</v>
      </c>
      <c r="F171" s="208" t="str">
        <f t="shared" ca="1" si="25"/>
        <v>-</v>
      </c>
      <c r="G171" s="152">
        <f ca="1">IF(RegimeExecucao="Global","",ORÇAMENTO!T171)</f>
        <v>2</v>
      </c>
      <c r="H171" s="152">
        <f ca="1">IF(RegimeExecucao="Global","",ORÇAMENTO!W171)</f>
        <v>486.12</v>
      </c>
      <c r="I171" s="155">
        <f ca="1">ORÇAMENTO!X171</f>
        <v>972.24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ht="63.75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>F</v>
      </c>
      <c r="D172" s="147" t="str">
        <f ca="1">ORÇAMENTO!O172</f>
        <v>1.8.3.</v>
      </c>
      <c r="E172" s="207" t="str">
        <f t="shared" ca="1" si="24"/>
        <v>(abra o arquivo 'Referência 05-2023.xls)</v>
      </c>
      <c r="F172" s="208" t="str">
        <f t="shared" ca="1" si="25"/>
        <v>-</v>
      </c>
      <c r="G172" s="152">
        <f ca="1">IF(RegimeExecucao="Global","",ORÇAMENTO!T172)</f>
        <v>85</v>
      </c>
      <c r="H172" s="152">
        <f ca="1">IF(RegimeExecucao="Global","",ORÇAMENTO!W172)</f>
        <v>64.959999999999994</v>
      </c>
      <c r="I172" s="155">
        <f ca="1">ORÇAMENTO!X172</f>
        <v>5521.6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ht="5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>F</v>
      </c>
      <c r="D173" s="147" t="str">
        <f ca="1">ORÇAMENTO!O173</f>
        <v>1.8.4.</v>
      </c>
      <c r="E173" s="207" t="str">
        <f t="shared" ca="1" si="24"/>
        <v>(abra o arquivo 'Referência 05-2023.xls)</v>
      </c>
      <c r="F173" s="208" t="str">
        <f t="shared" ca="1" si="25"/>
        <v>-</v>
      </c>
      <c r="G173" s="152">
        <f ca="1">IF(RegimeExecucao="Global","",ORÇAMENTO!T173)</f>
        <v>1</v>
      </c>
      <c r="H173" s="152">
        <f ca="1">IF(RegimeExecucao="Global","",ORÇAMENTO!W173)</f>
        <v>4884.37</v>
      </c>
      <c r="I173" s="155">
        <f ca="1">ORÇAMENTO!X173</f>
        <v>4884.37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ht="25.5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>F</v>
      </c>
      <c r="D174" s="147" t="str">
        <f ca="1">ORÇAMENTO!O174</f>
        <v>1.8.5.</v>
      </c>
      <c r="E174" s="207" t="str">
        <f t="shared" ca="1" si="24"/>
        <v>(abra o arquivo 'Referência 05-2023.xls)</v>
      </c>
      <c r="F174" s="208" t="str">
        <f t="shared" ca="1" si="25"/>
        <v>-</v>
      </c>
      <c r="G174" s="152">
        <f ca="1">IF(RegimeExecucao="Global","",ORÇAMENTO!T174)</f>
        <v>2</v>
      </c>
      <c r="H174" s="152">
        <f ca="1">IF(RegimeExecucao="Global","",ORÇAMENTO!W174)</f>
        <v>150.56</v>
      </c>
      <c r="I174" s="155">
        <f ca="1">ORÇAMENTO!X174</f>
        <v>301.12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ht="5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>F</v>
      </c>
      <c r="D175" s="147" t="str">
        <f ca="1">ORÇAMENTO!O175</f>
        <v>1.8.6.</v>
      </c>
      <c r="E175" s="207" t="str">
        <f t="shared" ca="1" si="24"/>
        <v>(abra o arquivo 'Referência 05-2023.xls)</v>
      </c>
      <c r="F175" s="208" t="str">
        <f t="shared" ca="1" si="25"/>
        <v>-</v>
      </c>
      <c r="G175" s="152">
        <f ca="1">IF(RegimeExecucao="Global","",ORÇAMENTO!T175)</f>
        <v>25</v>
      </c>
      <c r="H175" s="152">
        <f ca="1">IF(RegimeExecucao="Global","",ORÇAMENTO!W175)</f>
        <v>56.9</v>
      </c>
      <c r="I175" s="155">
        <f ca="1">ORÇAMENTO!X175</f>
        <v>1422.5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(abra o arquivo 'Referência 05-2023.xls)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>
        <f ca="1">ORÇAMENTO!C177</f>
        <v>2</v>
      </c>
      <c r="B177">
        <f ca="1">ORÇAMENTO!D177</f>
        <v>17</v>
      </c>
      <c r="C177" s="144" t="str">
        <f t="shared" ca="1" si="23"/>
        <v>F</v>
      </c>
      <c r="D177" s="147" t="str">
        <f ca="1">ORÇAMENTO!O177</f>
        <v>1.9.</v>
      </c>
      <c r="E177" s="207" t="str">
        <f t="shared" si="24"/>
        <v>ESQUADRIAS/BANCADA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85143.61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ht="5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>F</v>
      </c>
      <c r="D178" s="147" t="str">
        <f ca="1">ORÇAMENTO!O178</f>
        <v>1.9.1.</v>
      </c>
      <c r="E178" s="207" t="str">
        <f t="shared" ca="1" si="24"/>
        <v>(abra o arquivo 'Referência 05-2023.xls)</v>
      </c>
      <c r="F178" s="208" t="str">
        <f t="shared" ca="1" si="25"/>
        <v>-</v>
      </c>
      <c r="G178" s="152">
        <f ca="1">IF(RegimeExecucao="Global","",ORÇAMENTO!T178)</f>
        <v>32</v>
      </c>
      <c r="H178" s="152">
        <f ca="1">IF(RegimeExecucao="Global","",ORÇAMENTO!W178)</f>
        <v>851.75</v>
      </c>
      <c r="I178" s="155">
        <f ca="1">ORÇAMENTO!X178</f>
        <v>27256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ht="38.25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>F</v>
      </c>
      <c r="D179" s="147" t="str">
        <f ca="1">ORÇAMENTO!O179</f>
        <v>1.9.2.</v>
      </c>
      <c r="E179" s="207" t="str">
        <f t="shared" ca="1" si="24"/>
        <v>(abra o arquivo 'Referência 05-2023.xls)</v>
      </c>
      <c r="F179" s="208" t="str">
        <f t="shared" ca="1" si="25"/>
        <v>-</v>
      </c>
      <c r="G179" s="152">
        <f ca="1">IF(RegimeExecucao="Global","",ORÇAMENTO!T179)</f>
        <v>12.2</v>
      </c>
      <c r="H179" s="152">
        <f ca="1">IF(RegimeExecucao="Global","",ORÇAMENTO!W179)</f>
        <v>1810.55</v>
      </c>
      <c r="I179" s="155">
        <f ca="1">ORÇAMENTO!X179</f>
        <v>22088.71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ht="38.25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>F</v>
      </c>
      <c r="D180" s="147" t="str">
        <f ca="1">ORÇAMENTO!O180</f>
        <v>1.9.3.</v>
      </c>
      <c r="E180" s="207" t="str">
        <f t="shared" ca="1" si="24"/>
        <v>(abra o arquivo 'Referência 05-2023.xls)</v>
      </c>
      <c r="F180" s="208" t="str">
        <f t="shared" ca="1" si="25"/>
        <v>-</v>
      </c>
      <c r="G180" s="152">
        <f ca="1">IF(RegimeExecucao="Global","",ORÇAMENTO!T180)</f>
        <v>2</v>
      </c>
      <c r="H180" s="152">
        <f ca="1">IF(RegimeExecucao="Global","",ORÇAMENTO!W180)</f>
        <v>14169.41</v>
      </c>
      <c r="I180" s="155">
        <f ca="1">ORÇAMENTO!X180</f>
        <v>28338.82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ht="25.5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>F</v>
      </c>
      <c r="D181" s="147" t="str">
        <f ca="1">ORÇAMENTO!O181</f>
        <v>1.9.4.</v>
      </c>
      <c r="E181" s="207" t="str">
        <f t="shared" ca="1" si="24"/>
        <v>(abra o arquivo 'Referência 05-2023.xls)</v>
      </c>
      <c r="F181" s="208" t="str">
        <f t="shared" ca="1" si="25"/>
        <v>-</v>
      </c>
      <c r="G181" s="152">
        <f ca="1">IF(RegimeExecucao="Global","",ORÇAMENTO!T181)</f>
        <v>12</v>
      </c>
      <c r="H181" s="152">
        <f ca="1">IF(RegimeExecucao="Global","",ORÇAMENTO!W181)</f>
        <v>480.43</v>
      </c>
      <c r="I181" s="155">
        <f ca="1">ORÇAMENTO!X181</f>
        <v>5765.16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ht="25.5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>F</v>
      </c>
      <c r="D182" s="147" t="str">
        <f ca="1">ORÇAMENTO!O182</f>
        <v>1.9.5.</v>
      </c>
      <c r="E182" s="207" t="str">
        <f t="shared" ca="1" si="24"/>
        <v>(abra o arquivo 'Referência 05-2023.xls)</v>
      </c>
      <c r="F182" s="208" t="str">
        <f t="shared" ca="1" si="25"/>
        <v>-</v>
      </c>
      <c r="G182" s="152">
        <f ca="1">IF(RegimeExecucao="Global","",ORÇAMENTO!T182)</f>
        <v>1.68</v>
      </c>
      <c r="H182" s="152">
        <f ca="1">IF(RegimeExecucao="Global","",ORÇAMENTO!W182)</f>
        <v>1008.88</v>
      </c>
      <c r="I182" s="155">
        <f ca="1">ORÇAMENTO!X182</f>
        <v>1694.92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(abra o arquivo 'Referência 05-2023.xls)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(abra o arquivo 'Referência 05-2023.xls)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(abra o arquivo 'Referência 05-2023.xls)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(abra o arquivo 'Referência 05-2023.xls)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(abra o arquivo 'Referência 05-2023.xls)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(abra o arquivo 'Referência 05-2023.xls)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(abra o arquivo 'Referência 05-2023.xls)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(abra o arquivo 'Referência 05-2023.xls)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(abra o arquivo 'Referência 05-2023.xls)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(abra o arquivo 'Referência 05-2023.xls)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(abra o arquivo 'Referência 05-2023.xls)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>
        <f ca="1">ORÇAMENTO!C194</f>
        <v>2</v>
      </c>
      <c r="B194">
        <f ca="1">ORÇAMENTO!D194</f>
        <v>21</v>
      </c>
      <c r="C194" s="144" t="str">
        <f t="shared" ca="1" si="23"/>
        <v>F</v>
      </c>
      <c r="D194" s="147" t="str">
        <f ca="1">ORÇAMENTO!O194</f>
        <v>1.10.</v>
      </c>
      <c r="E194" s="207" t="str">
        <f t="shared" si="24"/>
        <v>INSTALAÇÕES SANITÁRIAS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22347.88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ht="38.25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>F</v>
      </c>
      <c r="D195" s="147" t="str">
        <f ca="1">ORÇAMENTO!O195</f>
        <v>1.10.1.</v>
      </c>
      <c r="E195" s="207" t="str">
        <f t="shared" ca="1" si="24"/>
        <v>(abra o arquivo 'Referência 05-2023.xls)</v>
      </c>
      <c r="F195" s="208" t="str">
        <f t="shared" ca="1" si="25"/>
        <v>-</v>
      </c>
      <c r="G195" s="152">
        <f ca="1">IF(RegimeExecucao="Global","",ORÇAMENTO!T195)</f>
        <v>1</v>
      </c>
      <c r="H195" s="152">
        <f ca="1">IF(RegimeExecucao="Global","",ORÇAMENTO!W195)</f>
        <v>5084.8999999999996</v>
      </c>
      <c r="I195" s="155">
        <f ca="1">ORÇAMENTO!X195</f>
        <v>5084.8999999999996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ht="38.25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>F</v>
      </c>
      <c r="D196" s="147" t="str">
        <f ca="1">ORÇAMENTO!O196</f>
        <v>1.10.2.</v>
      </c>
      <c r="E196" s="207" t="str">
        <f t="shared" ca="1" si="24"/>
        <v>(abra o arquivo 'Referência 05-2023.xls)</v>
      </c>
      <c r="F196" s="208" t="str">
        <f t="shared" ca="1" si="25"/>
        <v>-</v>
      </c>
      <c r="G196" s="152">
        <f ca="1">IF(RegimeExecucao="Global","",ORÇAMENTO!T196)</f>
        <v>1</v>
      </c>
      <c r="H196" s="152">
        <f ca="1">IF(RegimeExecucao="Global","",ORÇAMENTO!W196)</f>
        <v>2716.95</v>
      </c>
      <c r="I196" s="155">
        <f ca="1">ORÇAMENTO!X196</f>
        <v>2716.95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ht="38.25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>F</v>
      </c>
      <c r="D197" s="147" t="str">
        <f ca="1">ORÇAMENTO!O197</f>
        <v>1.10.3.</v>
      </c>
      <c r="E197" s="207" t="str">
        <f t="shared" ca="1" si="24"/>
        <v>(abra o arquivo 'Referência 05-2023.xls)</v>
      </c>
      <c r="F197" s="208" t="str">
        <f t="shared" ca="1" si="25"/>
        <v>-</v>
      </c>
      <c r="G197" s="152">
        <f ca="1">IF(RegimeExecucao="Global","",ORÇAMENTO!T197)</f>
        <v>1</v>
      </c>
      <c r="H197" s="152">
        <f ca="1">IF(RegimeExecucao="Global","",ORÇAMENTO!W197)</f>
        <v>3701.9</v>
      </c>
      <c r="I197" s="155">
        <f ca="1">ORÇAMENTO!X197</f>
        <v>3701.9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ht="63.75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>F</v>
      </c>
      <c r="D198" s="147" t="str">
        <f ca="1">ORÇAMENTO!O198</f>
        <v>1.10.4.</v>
      </c>
      <c r="E198" s="207" t="str">
        <f t="shared" ca="1" si="24"/>
        <v>(abra o arquivo 'Referência 05-2023.xls)</v>
      </c>
      <c r="F198" s="208" t="str">
        <f t="shared" ca="1" si="25"/>
        <v>-</v>
      </c>
      <c r="G198" s="152">
        <f ca="1">IF(RegimeExecucao="Global","",ORÇAMENTO!T198)</f>
        <v>20</v>
      </c>
      <c r="H198" s="152">
        <f ca="1">IF(RegimeExecucao="Global","",ORÇAMENTO!W198)</f>
        <v>130.85</v>
      </c>
      <c r="I198" s="155">
        <f ca="1">ORÇAMENTO!X198</f>
        <v>2617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ht="63.75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>F</v>
      </c>
      <c r="D199" s="147" t="str">
        <f ca="1">ORÇAMENTO!O199</f>
        <v>1.10.5.</v>
      </c>
      <c r="E199" s="207" t="str">
        <f t="shared" ca="1" si="24"/>
        <v>(abra o arquivo 'Referência 05-2023.xls)</v>
      </c>
      <c r="F199" s="208" t="str">
        <f t="shared" ca="1" si="25"/>
        <v>-</v>
      </c>
      <c r="G199" s="152">
        <f ca="1">IF(RegimeExecucao="Global","",ORÇAMENTO!T199)</f>
        <v>35</v>
      </c>
      <c r="H199" s="152">
        <f ca="1">IF(RegimeExecucao="Global","",ORÇAMENTO!W199)</f>
        <v>95.41</v>
      </c>
      <c r="I199" s="155">
        <f ca="1">ORÇAMENTO!X199</f>
        <v>3339.35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ht="38.25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>F</v>
      </c>
      <c r="D200" s="147" t="str">
        <f ca="1">ORÇAMENTO!O200</f>
        <v>1.10.6.</v>
      </c>
      <c r="E200" s="207" t="str">
        <f t="shared" ca="1" si="24"/>
        <v>(abra o arquivo 'Referência 05-2023.xls)</v>
      </c>
      <c r="F200" s="208" t="str">
        <f t="shared" ca="1" si="25"/>
        <v>-</v>
      </c>
      <c r="G200" s="152">
        <f ca="1">IF(RegimeExecucao="Global","",ORÇAMENTO!T200)</f>
        <v>2</v>
      </c>
      <c r="H200" s="152">
        <f ca="1">IF(RegimeExecucao="Global","",ORÇAMENTO!W200)</f>
        <v>320.93</v>
      </c>
      <c r="I200" s="155">
        <f ca="1">ORÇAMENTO!X200</f>
        <v>641.86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ht="38.25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>F</v>
      </c>
      <c r="D201" s="147" t="str">
        <f ca="1">ORÇAMENTO!O201</f>
        <v>1.10.7.</v>
      </c>
      <c r="E201" s="207" t="str">
        <f t="shared" ca="1" si="24"/>
        <v>(abra o arquivo 'Referência 05-2023.xls)</v>
      </c>
      <c r="F201" s="208" t="str">
        <f t="shared" ca="1" si="25"/>
        <v>-</v>
      </c>
      <c r="G201" s="152">
        <f ca="1">IF(RegimeExecucao="Global","",ORÇAMENTO!T201)</f>
        <v>1</v>
      </c>
      <c r="H201" s="152">
        <f ca="1">IF(RegimeExecucao="Global","",ORÇAMENTO!W201)</f>
        <v>354.28</v>
      </c>
      <c r="I201" s="155">
        <f ca="1">ORÇAMENTO!X201</f>
        <v>354.28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ht="38.25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>F</v>
      </c>
      <c r="D202" s="147" t="str">
        <f ca="1">ORÇAMENTO!O202</f>
        <v>1.10.8.</v>
      </c>
      <c r="E202" s="207" t="str">
        <f t="shared" ca="1" si="24"/>
        <v>(abra o arquivo 'Referência 05-2023.xls)</v>
      </c>
      <c r="F202" s="208" t="str">
        <f t="shared" ca="1" si="25"/>
        <v>-</v>
      </c>
      <c r="G202" s="152">
        <f ca="1">IF(RegimeExecucao="Global","",ORÇAMENTO!T202)</f>
        <v>3</v>
      </c>
      <c r="H202" s="152">
        <f ca="1">IF(RegimeExecucao="Global","",ORÇAMENTO!W202)</f>
        <v>313.16000000000003</v>
      </c>
      <c r="I202" s="155">
        <f ca="1">ORÇAMENTO!X202</f>
        <v>939.48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ht="25.5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>F</v>
      </c>
      <c r="D203" s="147" t="str">
        <f ca="1">ORÇAMENTO!O203</f>
        <v>1.10.9.</v>
      </c>
      <c r="E203" s="207" t="str">
        <f t="shared" ca="1" si="24"/>
        <v>(abra o arquivo 'Referência 05-2023.xls)</v>
      </c>
      <c r="F203" s="208" t="str">
        <f t="shared" ca="1" si="25"/>
        <v>-</v>
      </c>
      <c r="G203" s="152">
        <f ca="1">IF(RegimeExecucao="Global","",ORÇAMENTO!T203)</f>
        <v>2</v>
      </c>
      <c r="H203" s="152">
        <f ca="1">IF(RegimeExecucao="Global","",ORÇAMENTO!W203)</f>
        <v>58.14</v>
      </c>
      <c r="I203" s="155">
        <f ca="1">ORÇAMENTO!X203</f>
        <v>116.28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ht="38.25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>F</v>
      </c>
      <c r="D204" s="147" t="str">
        <f ca="1">ORÇAMENTO!O204</f>
        <v>1.10.10.</v>
      </c>
      <c r="E204" s="207" t="str">
        <f t="shared" ca="1" si="24"/>
        <v>(abra o arquivo 'Referência 05-2023.xls)</v>
      </c>
      <c r="F204" s="208" t="str">
        <f t="shared" ca="1" si="25"/>
        <v>-</v>
      </c>
      <c r="G204" s="152">
        <f ca="1">IF(RegimeExecucao="Global","",ORÇAMENTO!T204)</f>
        <v>2</v>
      </c>
      <c r="H204" s="152">
        <f ca="1">IF(RegimeExecucao="Global","",ORÇAMENTO!W204)</f>
        <v>71.459999999999994</v>
      </c>
      <c r="I204" s="155">
        <f ca="1">ORÇAMENTO!X204</f>
        <v>142.91999999999999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ht="25.5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>F</v>
      </c>
      <c r="D205" s="147" t="str">
        <f ca="1">ORÇAMENTO!O205</f>
        <v>1.10.11.</v>
      </c>
      <c r="E205" s="207" t="str">
        <f t="shared" ca="1" si="24"/>
        <v>(abra o arquivo 'Referência 05-2023.xls)</v>
      </c>
      <c r="F205" s="208" t="str">
        <f t="shared" ca="1" si="25"/>
        <v>-</v>
      </c>
      <c r="G205" s="152">
        <f ca="1">IF(RegimeExecucao="Global","",ORÇAMENTO!T205)</f>
        <v>2</v>
      </c>
      <c r="H205" s="152">
        <f ca="1">IF(RegimeExecucao="Global","",ORÇAMENTO!W205)</f>
        <v>109.91</v>
      </c>
      <c r="I205" s="155">
        <f ca="1">ORÇAMENTO!X205</f>
        <v>219.82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ht="5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>F</v>
      </c>
      <c r="D206" s="147" t="str">
        <f ca="1">ORÇAMENTO!O206</f>
        <v>1.10.12.</v>
      </c>
      <c r="E206" s="207" t="str">
        <f t="shared" ca="1" si="24"/>
        <v>(abra o arquivo 'Referência 05-2023.xls)</v>
      </c>
      <c r="F206" s="208" t="str">
        <f t="shared" ca="1" si="25"/>
        <v>-</v>
      </c>
      <c r="G206" s="152">
        <f ca="1">IF(RegimeExecucao="Global","",ORÇAMENTO!T206)</f>
        <v>3</v>
      </c>
      <c r="H206" s="152">
        <f ca="1">IF(RegimeExecucao="Global","",ORÇAMENTO!W206)</f>
        <v>792.04</v>
      </c>
      <c r="I206" s="155">
        <f ca="1">ORÇAMENTO!X206</f>
        <v>2376.12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>F</v>
      </c>
      <c r="D207" s="147" t="str">
        <f ca="1">ORÇAMENTO!O207</f>
        <v>1.10.13.</v>
      </c>
      <c r="E207" s="207" t="str">
        <f t="shared" ca="1" si="24"/>
        <v>(abra o arquivo 'Referência 05-2023.xls)</v>
      </c>
      <c r="F207" s="208" t="str">
        <f t="shared" ca="1" si="25"/>
        <v>-</v>
      </c>
      <c r="G207" s="152">
        <f ca="1">IF(RegimeExecucao="Global","",ORÇAMENTO!T207)</f>
        <v>2</v>
      </c>
      <c r="H207" s="152">
        <f ca="1">IF(RegimeExecucao="Global","",ORÇAMENTO!W207)</f>
        <v>48.51</v>
      </c>
      <c r="I207" s="155">
        <f ca="1">ORÇAMENTO!X207</f>
        <v>97.02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(abra o arquivo 'Referência 05-2023.xls)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(abra o arquivo 'Referência 05-2023.xls)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(abra o arquivo 'Referência 05-2023.xls)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(abra o arquivo 'Referência 05-2023.xls)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(abra o arquivo 'Referência 05-2023.xls)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(abra o arquivo 'Referência 05-2023.xls)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(abra o arquivo 'Referência 05-2023.xls)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>
        <f ca="1">ORÇAMENTO!C215</f>
        <v>2</v>
      </c>
      <c r="B215">
        <f ca="1">ORÇAMENTO!D215</f>
        <v>32</v>
      </c>
      <c r="C215" s="144" t="str">
        <f t="shared" ca="1" si="34"/>
        <v>F</v>
      </c>
      <c r="D215" s="147" t="str">
        <f ca="1">ORÇAMENTO!O215</f>
        <v>1.11.</v>
      </c>
      <c r="E215" s="207" t="str">
        <f t="shared" si="35"/>
        <v xml:space="preserve">SERVIÇOS ELETRICOS 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98230.82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ht="5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>F</v>
      </c>
      <c r="D216" s="147" t="str">
        <f ca="1">ORÇAMENTO!O216</f>
        <v>1.11.1.</v>
      </c>
      <c r="E216" s="207" t="str">
        <f t="shared" ca="1" si="35"/>
        <v>(abra o arquivo 'Referência 05-2023.xls)</v>
      </c>
      <c r="F216" s="208" t="str">
        <f t="shared" ca="1" si="36"/>
        <v>-</v>
      </c>
      <c r="G216" s="152">
        <f ca="1">IF(RegimeExecucao="Global","",ORÇAMENTO!T216)</f>
        <v>1</v>
      </c>
      <c r="H216" s="152">
        <f ca="1">IF(RegimeExecucao="Global","",ORÇAMENTO!W216)</f>
        <v>781.28</v>
      </c>
      <c r="I216" s="155">
        <f ca="1">ORÇAMENTO!X216</f>
        <v>781.28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ht="25.5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>F</v>
      </c>
      <c r="D217" s="147" t="str">
        <f ca="1">ORÇAMENTO!O217</f>
        <v>1.11.2.</v>
      </c>
      <c r="E217" s="207" t="str">
        <f t="shared" ca="1" si="35"/>
        <v>(abra o arquivo 'Referência 05-2023.xls)</v>
      </c>
      <c r="F217" s="208" t="str">
        <f t="shared" ca="1" si="36"/>
        <v>-</v>
      </c>
      <c r="G217" s="152">
        <f ca="1">IF(RegimeExecucao="Global","",ORÇAMENTO!T217)</f>
        <v>13</v>
      </c>
      <c r="H217" s="152">
        <f ca="1">IF(RegimeExecucao="Global","",ORÇAMENTO!W217)</f>
        <v>106.35</v>
      </c>
      <c r="I217" s="155">
        <f ca="1">ORÇAMENTO!X217</f>
        <v>1382.55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ht="25.5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>F</v>
      </c>
      <c r="D218" s="147" t="str">
        <f ca="1">ORÇAMENTO!O218</f>
        <v>1.11.3.</v>
      </c>
      <c r="E218" s="207" t="str">
        <f t="shared" ca="1" si="35"/>
        <v>(abra o arquivo 'Referência 05-2023.xls)</v>
      </c>
      <c r="F218" s="208" t="str">
        <f t="shared" ca="1" si="36"/>
        <v>-</v>
      </c>
      <c r="G218" s="152">
        <f ca="1">IF(RegimeExecucao="Global","",ORÇAMENTO!T218)</f>
        <v>195</v>
      </c>
      <c r="H218" s="152">
        <f ca="1">IF(RegimeExecucao="Global","",ORÇAMENTO!W218)</f>
        <v>28.19</v>
      </c>
      <c r="I218" s="155">
        <f ca="1">ORÇAMENTO!X218</f>
        <v>5497.05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ht="25.5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>F</v>
      </c>
      <c r="D219" s="147" t="str">
        <f ca="1">ORÇAMENTO!O219</f>
        <v>1.11.4.</v>
      </c>
      <c r="E219" s="207" t="str">
        <f t="shared" ca="1" si="35"/>
        <v>(abra o arquivo 'Referência 05-2023.xls)</v>
      </c>
      <c r="F219" s="208" t="str">
        <f t="shared" ca="1" si="36"/>
        <v>-</v>
      </c>
      <c r="G219" s="152">
        <f ca="1">IF(RegimeExecucao="Global","",ORÇAMENTO!T219)</f>
        <v>76</v>
      </c>
      <c r="H219" s="152">
        <f ca="1">IF(RegimeExecucao="Global","",ORÇAMENTO!W219)</f>
        <v>55.55</v>
      </c>
      <c r="I219" s="155">
        <f ca="1">ORÇAMENTO!X219</f>
        <v>4221.8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ht="25.5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>F</v>
      </c>
      <c r="D220" s="147" t="str">
        <f ca="1">ORÇAMENTO!O220</f>
        <v>1.11.5.</v>
      </c>
      <c r="E220" s="207" t="str">
        <f t="shared" ca="1" si="35"/>
        <v>(abra o arquivo 'Referência 05-2023.xls)</v>
      </c>
      <c r="F220" s="208" t="str">
        <f t="shared" ca="1" si="36"/>
        <v>-</v>
      </c>
      <c r="G220" s="152">
        <f ca="1">IF(RegimeExecucao="Global","",ORÇAMENTO!T220)</f>
        <v>10</v>
      </c>
      <c r="H220" s="152">
        <f ca="1">IF(RegimeExecucao="Global","",ORÇAMENTO!W220)</f>
        <v>51.11</v>
      </c>
      <c r="I220" s="155">
        <f ca="1">ORÇAMENTO!X220</f>
        <v>511.1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ht="25.5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>F</v>
      </c>
      <c r="D221" s="147" t="str">
        <f ca="1">ORÇAMENTO!O221</f>
        <v>1.11.6.</v>
      </c>
      <c r="E221" s="207" t="str">
        <f t="shared" ca="1" si="35"/>
        <v>(abra o arquivo 'Referência 05-2023.xls)</v>
      </c>
      <c r="F221" s="208" t="str">
        <f t="shared" ca="1" si="36"/>
        <v>-</v>
      </c>
      <c r="G221" s="152">
        <f ca="1">IF(RegimeExecucao="Global","",ORÇAMENTO!T221)</f>
        <v>55</v>
      </c>
      <c r="H221" s="152">
        <f ca="1">IF(RegimeExecucao="Global","",ORÇAMENTO!W221)</f>
        <v>65.67</v>
      </c>
      <c r="I221" s="155">
        <f ca="1">ORÇAMENTO!X221</f>
        <v>3611.85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ht="38.25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>F</v>
      </c>
      <c r="D222" s="147" t="str">
        <f ca="1">ORÇAMENTO!O222</f>
        <v>1.11.7.</v>
      </c>
      <c r="E222" s="207" t="str">
        <f t="shared" ca="1" si="35"/>
        <v>(abra o arquivo 'Referência 05-2023.xls)</v>
      </c>
      <c r="F222" s="208" t="str">
        <f t="shared" ca="1" si="36"/>
        <v>-</v>
      </c>
      <c r="G222" s="152">
        <f ca="1">IF(RegimeExecucao="Global","",ORÇAMENTO!T222)</f>
        <v>112</v>
      </c>
      <c r="H222" s="152">
        <f ca="1">IF(RegimeExecucao="Global","",ORÇAMENTO!W222)</f>
        <v>19.309999999999999</v>
      </c>
      <c r="I222" s="155">
        <f ca="1">ORÇAMENTO!X222</f>
        <v>2162.7199999999998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ht="38.25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>F</v>
      </c>
      <c r="D223" s="147" t="str">
        <f ca="1">ORÇAMENTO!O223</f>
        <v>1.11.8.</v>
      </c>
      <c r="E223" s="207" t="str">
        <f t="shared" ca="1" si="35"/>
        <v>(abra o arquivo 'Referência 05-2023.xls)</v>
      </c>
      <c r="F223" s="208" t="str">
        <f t="shared" ca="1" si="36"/>
        <v>-</v>
      </c>
      <c r="G223" s="152">
        <f ca="1">IF(RegimeExecucao="Global","",ORÇAMENTO!T223)</f>
        <v>810</v>
      </c>
      <c r="H223" s="152">
        <f ca="1">IF(RegimeExecucao="Global","",ORÇAMENTO!W223)</f>
        <v>5.46</v>
      </c>
      <c r="I223" s="155">
        <f ca="1">ORÇAMENTO!X223</f>
        <v>4422.6000000000004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ht="38.25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>F</v>
      </c>
      <c r="D224" s="147" t="str">
        <f ca="1">ORÇAMENTO!O224</f>
        <v>1.11.9.</v>
      </c>
      <c r="E224" s="207" t="str">
        <f t="shared" ca="1" si="35"/>
        <v>(abra o arquivo 'Referência 05-2023.xls)</v>
      </c>
      <c r="F224" s="208" t="str">
        <f t="shared" ca="1" si="36"/>
        <v>-</v>
      </c>
      <c r="G224" s="152">
        <f ca="1">IF(RegimeExecucao="Global","",ORÇAMENTO!T224)</f>
        <v>150</v>
      </c>
      <c r="H224" s="152">
        <f ca="1">IF(RegimeExecucao="Global","",ORÇAMENTO!W224)</f>
        <v>18.559999999999999</v>
      </c>
      <c r="I224" s="155">
        <f ca="1">ORÇAMENTO!X224</f>
        <v>2784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ht="38.25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>F</v>
      </c>
      <c r="D225" s="147" t="str">
        <f ca="1">ORÇAMENTO!O225</f>
        <v>1.11.10.</v>
      </c>
      <c r="E225" s="207" t="str">
        <f t="shared" ca="1" si="35"/>
        <v>(abra o arquivo 'Referência 05-2023.xls)</v>
      </c>
      <c r="F225" s="208" t="str">
        <f t="shared" ca="1" si="36"/>
        <v>-</v>
      </c>
      <c r="G225" s="152">
        <f ca="1">IF(RegimeExecucao="Global","",ORÇAMENTO!T225)</f>
        <v>805</v>
      </c>
      <c r="H225" s="152">
        <f ca="1">IF(RegimeExecucao="Global","",ORÇAMENTO!W225)</f>
        <v>11.63</v>
      </c>
      <c r="I225" s="155">
        <f ca="1">ORÇAMENTO!X225</f>
        <v>9362.15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ht="38.25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>F</v>
      </c>
      <c r="D226" s="147" t="str">
        <f ca="1">ORÇAMENTO!O226</f>
        <v>1.11.11.</v>
      </c>
      <c r="E226" s="207" t="str">
        <f t="shared" ca="1" si="35"/>
        <v>(abra o arquivo 'Referência 05-2023.xls)</v>
      </c>
      <c r="F226" s="208" t="str">
        <f t="shared" ca="1" si="36"/>
        <v>-</v>
      </c>
      <c r="G226" s="152">
        <f ca="1">IF(RegimeExecucao="Global","",ORÇAMENTO!T226)</f>
        <v>925</v>
      </c>
      <c r="H226" s="152">
        <f ca="1">IF(RegimeExecucao="Global","",ORÇAMENTO!W226)</f>
        <v>8.36</v>
      </c>
      <c r="I226" s="155">
        <f ca="1">ORÇAMENTO!X226</f>
        <v>7733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ht="25.5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>F</v>
      </c>
      <c r="D227" s="147" t="str">
        <f ca="1">ORÇAMENTO!O227</f>
        <v>1.11.12.</v>
      </c>
      <c r="E227" s="207" t="str">
        <f t="shared" ca="1" si="35"/>
        <v>(abra o arquivo 'Referência 05-2023.xls)</v>
      </c>
      <c r="F227" s="208" t="str">
        <f t="shared" ca="1" si="36"/>
        <v>-</v>
      </c>
      <c r="G227" s="152">
        <f ca="1">IF(RegimeExecucao="Global","",ORÇAMENTO!T227)</f>
        <v>44</v>
      </c>
      <c r="H227" s="152">
        <f ca="1">IF(RegimeExecucao="Global","",ORÇAMENTO!W227)</f>
        <v>187.21</v>
      </c>
      <c r="I227" s="155">
        <f ca="1">ORÇAMENTO!X227</f>
        <v>8237.24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ht="25.5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>F</v>
      </c>
      <c r="D228" s="147" t="str">
        <f ca="1">ORÇAMENTO!O228</f>
        <v>1.11.13.</v>
      </c>
      <c r="E228" s="207" t="str">
        <f t="shared" ca="1" si="35"/>
        <v>(abra o arquivo 'Referência 05-2023.xls)</v>
      </c>
      <c r="F228" s="208" t="str">
        <f t="shared" ca="1" si="36"/>
        <v>-</v>
      </c>
      <c r="G228" s="152">
        <f ca="1">IF(RegimeExecucao="Global","",ORÇAMENTO!T228)</f>
        <v>6</v>
      </c>
      <c r="H228" s="152">
        <f ca="1">IF(RegimeExecucao="Global","",ORÇAMENTO!W228)</f>
        <v>50.68</v>
      </c>
      <c r="I228" s="155">
        <f ca="1">ORÇAMENTO!X228</f>
        <v>304.08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ht="25.5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>F</v>
      </c>
      <c r="D229" s="147" t="str">
        <f ca="1">ORÇAMENTO!O229</f>
        <v>1.11.14.</v>
      </c>
      <c r="E229" s="207" t="str">
        <f t="shared" ca="1" si="35"/>
        <v>(abra o arquivo 'Referência 05-2023.xls)</v>
      </c>
      <c r="F229" s="208" t="str">
        <f t="shared" ca="1" si="36"/>
        <v>-</v>
      </c>
      <c r="G229" s="152">
        <f ca="1">IF(RegimeExecucao="Global","",ORÇAMENTO!T229)</f>
        <v>2</v>
      </c>
      <c r="H229" s="152">
        <f ca="1">IF(RegimeExecucao="Global","",ORÇAMENTO!W229)</f>
        <v>1333.54</v>
      </c>
      <c r="I229" s="155">
        <f ca="1">ORÇAMENTO!X229</f>
        <v>2667.08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ht="25.5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>F</v>
      </c>
      <c r="D230" s="147" t="str">
        <f ca="1">ORÇAMENTO!O230</f>
        <v>1.11.15.</v>
      </c>
      <c r="E230" s="207" t="str">
        <f t="shared" ca="1" si="35"/>
        <v>(abra o arquivo 'Referência 05-2023.xls)</v>
      </c>
      <c r="F230" s="208" t="str">
        <f t="shared" ca="1" si="36"/>
        <v>-</v>
      </c>
      <c r="G230" s="152">
        <f ca="1">IF(RegimeExecucao="Global","",ORÇAMENTO!T230)</f>
        <v>3</v>
      </c>
      <c r="H230" s="152">
        <f ca="1">IF(RegimeExecucao="Global","",ORÇAMENTO!W230)</f>
        <v>14777.53</v>
      </c>
      <c r="I230" s="155">
        <f ca="1">ORÇAMENTO!X230</f>
        <v>44332.59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ht="25.5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>F</v>
      </c>
      <c r="D231" s="147" t="str">
        <f ca="1">ORÇAMENTO!O231</f>
        <v>1.11.16.</v>
      </c>
      <c r="E231" s="207" t="str">
        <f t="shared" ca="1" si="35"/>
        <v>(abra o arquivo 'Referência 05-2023.xls)</v>
      </c>
      <c r="F231" s="208" t="str">
        <f t="shared" ca="1" si="36"/>
        <v>-</v>
      </c>
      <c r="G231" s="152">
        <f ca="1">IF(RegimeExecucao="Global","",ORÇAMENTO!T231)</f>
        <v>1</v>
      </c>
      <c r="H231" s="152">
        <f ca="1">IF(RegimeExecucao="Global","",ORÇAMENTO!W231)</f>
        <v>219.73</v>
      </c>
      <c r="I231" s="155">
        <f ca="1">ORÇAMENTO!X231</f>
        <v>219.73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(abra o arquivo 'Referência 05-2023.xls)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(abra o arquivo 'Referência 05-2023.xls)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(abra o arquivo 'Referência 05-2023.xls)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(abra o arquivo 'Referência 05-2023.xls)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(abra o arquivo 'Referência 05-2023.xls)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(abra o arquivo 'Referência 05-2023.xls)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(abra o arquivo 'Referência 05-2023.xls)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(abra o arquivo 'Referência 05-2023.xls)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(abra o arquivo 'Referência 05-2023.xls)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(abra o arquivo 'Referência 05-2023.xls)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(abra o arquivo 'Referência 05-2023.xls)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(abra o arquivo 'Referência 05-2023.xls)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(abra o arquivo 'Referência 05-2023.xls)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(abra o arquivo 'Referência 05-2023.xls)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(abra o arquivo 'Referência 05-2023.xls)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>
        <f ca="1">ORÇAMENTO!C247</f>
        <v>2</v>
      </c>
      <c r="B247">
        <f ca="1">ORÇAMENTO!D247</f>
        <v>19</v>
      </c>
      <c r="C247" s="144" t="str">
        <f t="shared" ca="1" si="34"/>
        <v>F</v>
      </c>
      <c r="D247" s="147" t="str">
        <f ca="1">ORÇAMENTO!O247</f>
        <v>1.12.</v>
      </c>
      <c r="E247" s="207" t="str">
        <f t="shared" si="35"/>
        <v xml:space="preserve">REDE GÁS - 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6565.66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ht="25.5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>F</v>
      </c>
      <c r="D248" s="147" t="str">
        <f ca="1">ORÇAMENTO!O248</f>
        <v>1.12.1.</v>
      </c>
      <c r="E248" s="207" t="str">
        <f t="shared" ca="1" si="35"/>
        <v>(abra o arquivo 'Referência 05-2023.xls)</v>
      </c>
      <c r="F248" s="208">
        <f t="shared" ca="1" si="36"/>
        <v>5278.29</v>
      </c>
      <c r="G248" s="152">
        <f ca="1">IF(RegimeExecucao="Global","",ORÇAMENTO!T248)</f>
        <v>1</v>
      </c>
      <c r="H248" s="152">
        <f ca="1">IF(RegimeExecucao="Global","",ORÇAMENTO!W248)</f>
        <v>6565.66</v>
      </c>
      <c r="I248" s="155">
        <f ca="1">ORÇAMENTO!X248</f>
        <v>6565.66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(abra o arquivo 'Referência 05-2023.xls)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(abra o arquivo 'Referência 05-2023.xls)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(abra o arquivo 'Referência 05-2023.xls)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(abra o arquivo 'Referência 05-2023.xls)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(abra o arquivo 'Referência 05-2023.xls)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(abra o arquivo 'Referência 05-2023.xls)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(abra o arquivo 'Referência 05-2023.xls)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(abra o arquivo 'Referência 05-2023.xls)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(abra o arquivo 'Referência 05-2023.xls)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(abra o arquivo 'Referência 05-2023.xls)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(abra o arquivo 'Referência 05-2023.xls)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(abra o arquivo 'Referência 05-2023.xls)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(abra o arquivo 'Referência 05-2023.xls)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(abra o arquivo 'Referência 05-2023.xls)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(abra o arquivo 'Referência 05-2023.xls)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(abra o arquivo 'Referência 05-2023.xls)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(abra o arquivo 'Referência 05-2023.xls)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8" t="s">
        <v>186</v>
      </c>
      <c r="E268" s="768"/>
      <c r="F268" s="768"/>
      <c r="G268" s="768"/>
      <c r="H268" s="768"/>
      <c r="I268" s="768"/>
      <c r="J268" s="768"/>
      <c r="K268" s="768"/>
      <c r="L268" s="768"/>
      <c r="M268" s="768"/>
      <c r="N268" s="768"/>
      <c r="O268" s="768"/>
      <c r="T268" s="769" t="s">
        <v>352</v>
      </c>
      <c r="U268" s="769"/>
      <c r="V268" s="769"/>
      <c r="W268" s="769"/>
      <c r="X268" s="769"/>
      <c r="Y268" s="769"/>
      <c r="Z268" s="769"/>
    </row>
    <row r="269" spans="1:41" ht="12.75" customHeight="1" x14ac:dyDescent="0.2">
      <c r="C269" s="105"/>
      <c r="D269" s="696"/>
      <c r="E269" s="696"/>
      <c r="F269" s="696"/>
      <c r="G269" s="696"/>
      <c r="H269" s="696"/>
      <c r="I269" s="696"/>
      <c r="J269" s="696"/>
      <c r="K269" s="696"/>
      <c r="L269" s="696"/>
      <c r="M269" s="696"/>
      <c r="N269" s="696"/>
      <c r="O269" s="696"/>
      <c r="T269" s="770"/>
      <c r="U269" s="770"/>
      <c r="V269" s="770"/>
      <c r="W269" s="770"/>
      <c r="X269" s="770"/>
      <c r="Y269" s="770"/>
      <c r="Z269" s="770"/>
    </row>
    <row r="270" spans="1:41" ht="12.75" customHeight="1" x14ac:dyDescent="0.2">
      <c r="C270" s="105"/>
      <c r="D270" s="696"/>
      <c r="E270" s="696"/>
      <c r="F270" s="696"/>
      <c r="G270" s="696"/>
      <c r="H270" s="696"/>
      <c r="I270" s="696"/>
      <c r="J270" s="696"/>
      <c r="K270" s="696"/>
      <c r="L270" s="696"/>
      <c r="M270" s="696"/>
      <c r="N270" s="696"/>
      <c r="O270" s="696"/>
      <c r="T270" s="770"/>
      <c r="U270" s="770"/>
      <c r="V270" s="770"/>
      <c r="W270" s="770"/>
      <c r="X270" s="770"/>
      <c r="Y270" s="770"/>
      <c r="Z270" s="770"/>
    </row>
    <row r="271" spans="1:41" ht="12.75" customHeight="1" x14ac:dyDescent="0.2">
      <c r="C271" s="105"/>
      <c r="D271" s="696"/>
      <c r="E271" s="696"/>
      <c r="F271" s="696"/>
      <c r="G271" s="696"/>
      <c r="H271" s="696"/>
      <c r="I271" s="696"/>
      <c r="J271" s="696"/>
      <c r="K271" s="696"/>
      <c r="L271" s="696"/>
      <c r="M271" s="696"/>
      <c r="N271" s="696"/>
      <c r="O271" s="696"/>
      <c r="T271" s="770"/>
      <c r="U271" s="770"/>
      <c r="V271" s="770"/>
      <c r="W271" s="770"/>
      <c r="X271" s="770"/>
      <c r="Y271" s="770"/>
      <c r="Z271" s="770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697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697"/>
      <c r="F273" s="697"/>
      <c r="G273" s="697"/>
      <c r="H273" s="697"/>
      <c r="I273" s="697"/>
      <c r="J273" s="697"/>
      <c r="K273" s="697"/>
      <c r="L273" s="697"/>
    </row>
    <row r="274" spans="3:26" x14ac:dyDescent="0.2">
      <c r="C274" s="105"/>
      <c r="D274" s="766"/>
      <c r="E274" s="766"/>
      <c r="F274" s="766"/>
      <c r="G274" s="766"/>
      <c r="H274" s="766"/>
      <c r="I274" s="766"/>
    </row>
    <row r="275" spans="3:26" x14ac:dyDescent="0.2">
      <c r="C275" s="105"/>
      <c r="D275" s="773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73"/>
      <c r="F275" s="773"/>
      <c r="G275" s="773"/>
      <c r="H275" s="773"/>
      <c r="I275" s="773"/>
      <c r="J275" s="773"/>
      <c r="K275" s="773"/>
      <c r="L275" s="773"/>
      <c r="M275" s="773"/>
      <c r="N275" s="773"/>
      <c r="O275" s="773"/>
    </row>
    <row r="276" spans="3:26" ht="39.950000000000003" customHeight="1" x14ac:dyDescent="0.2">
      <c r="C276" s="105"/>
      <c r="E276" s="175" t="str">
        <f>Import.Município</f>
        <v>CEU AZUL - PR</v>
      </c>
      <c r="J276" s="774"/>
      <c r="K276" s="774"/>
      <c r="L276" s="774"/>
      <c r="M276" s="774"/>
      <c r="N276" s="105"/>
      <c r="O276" s="105"/>
      <c r="W276" s="774"/>
      <c r="X276" s="774"/>
      <c r="Y276" s="774"/>
      <c r="Z276" s="774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FRANCIELLY MATTEI DIAS LEMES</v>
      </c>
      <c r="L278" s="96"/>
      <c r="M278" s="105"/>
      <c r="N278" s="105"/>
      <c r="O278" s="105"/>
      <c r="W278" s="95" t="s">
        <v>107</v>
      </c>
      <c r="X278" s="772"/>
      <c r="Y278" s="772"/>
      <c r="Z278" s="772"/>
    </row>
    <row r="279" spans="3:26" x14ac:dyDescent="0.2">
      <c r="C279" s="105"/>
      <c r="E279" s="601">
        <f ca="1">DADOS!$F$47</f>
        <v>45138</v>
      </c>
      <c r="J279" s="95" t="s">
        <v>126</v>
      </c>
      <c r="K279" s="354" t="str">
        <v>TECNICA EM EDIFICAÇÕES</v>
      </c>
      <c r="L279" s="96"/>
      <c r="M279" s="105"/>
      <c r="N279" s="105"/>
      <c r="O279" s="105"/>
      <c r="W279" s="95" t="s">
        <v>354</v>
      </c>
      <c r="X279" s="772"/>
      <c r="Y279" s="772"/>
      <c r="Z279" s="772"/>
    </row>
    <row r="280" spans="3:26" x14ac:dyDescent="0.2">
      <c r="C280" s="105"/>
      <c r="E280" s="178" t="s">
        <v>188</v>
      </c>
      <c r="J280" s="95" t="s">
        <v>108</v>
      </c>
      <c r="K280" s="354" t="str">
        <v>CRT04-03486316931</v>
      </c>
      <c r="L280" s="96"/>
      <c r="M280" s="105"/>
      <c r="N280" s="105"/>
      <c r="O280" s="105"/>
      <c r="W280" s="95" t="s">
        <v>108</v>
      </c>
      <c r="X280" s="772"/>
      <c r="Y280" s="772"/>
      <c r="Z280" s="772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X280:Z280"/>
    <mergeCell ref="D275:O275"/>
    <mergeCell ref="J276:M276"/>
    <mergeCell ref="W276:Z276"/>
    <mergeCell ref="X278:Z278"/>
    <mergeCell ref="X279:Z279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703" t="s">
        <v>146</v>
      </c>
      <c r="F3" s="703"/>
      <c r="G3" s="703"/>
      <c r="H3" s="703"/>
      <c r="I3" s="666" t="s">
        <v>439</v>
      </c>
      <c r="J3" s="666"/>
      <c r="K3" s="666"/>
      <c r="L3" s="112" t="s">
        <v>440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701" t="str">
        <f>Import.Proponente</f>
        <v>MUNICIPIO DE CÉU AZUL</v>
      </c>
      <c r="F4" s="701"/>
      <c r="G4" s="701"/>
      <c r="H4" s="701"/>
      <c r="I4" s="663">
        <f>Import.CR</f>
        <v>0</v>
      </c>
      <c r="J4" s="663"/>
      <c r="K4" s="663"/>
      <c r="L4" s="73">
        <f>Import.SICONV</f>
        <v>0</v>
      </c>
      <c r="M4" s="787" t="s">
        <v>306</v>
      </c>
      <c r="N4" s="788"/>
      <c r="O4" s="789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66" t="s">
        <v>201</v>
      </c>
      <c r="F6" s="666"/>
      <c r="G6" s="666"/>
      <c r="H6" s="666"/>
      <c r="I6" s="775" t="s">
        <v>305</v>
      </c>
      <c r="J6" s="775"/>
      <c r="K6" s="775"/>
      <c r="L6" s="775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92" t="s">
        <v>208</v>
      </c>
      <c r="E7" s="663" t="str">
        <f>Import.Apelido</f>
        <v>OBRA DE MODERNIZAÇÃO DO CENTRO COMUNITARIO DE NOVA UNIÃO</v>
      </c>
      <c r="F7" s="663"/>
      <c r="G7" s="663"/>
      <c r="H7" s="663"/>
      <c r="I7" s="776" t="str">
        <f>Import.Município</f>
        <v>CEU AZUL - PR</v>
      </c>
      <c r="J7" s="776"/>
      <c r="K7" s="776"/>
      <c r="L7" s="776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9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92"/>
      <c r="G9" s="777" t="s">
        <v>360</v>
      </c>
      <c r="H9" s="777"/>
      <c r="I9" s="777" t="s">
        <v>361</v>
      </c>
      <c r="J9" s="777"/>
      <c r="K9" s="453"/>
      <c r="L9" s="778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92"/>
      <c r="G10" s="665" t="str">
        <f ca="1">IF(J10="-","-",IF($P$24&lt;J10,"Atrasada",IF($P$24&gt;J10,"Adiantada","Normal")))</f>
        <v>Normal</v>
      </c>
      <c r="H10" s="665"/>
      <c r="I10" s="456">
        <f>DATE(YEAR($L$35),MONTH($L$35),1)</f>
        <v>45108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778"/>
      <c r="M10" s="458">
        <f ca="1">QCI!L10</f>
        <v>0</v>
      </c>
      <c r="N10" s="365">
        <f ca="1">QCI!M10</f>
        <v>-599993.04</v>
      </c>
      <c r="P10" s="455"/>
      <c r="R10" s="185"/>
      <c r="S10" s="185"/>
      <c r="T10" s="185"/>
      <c r="U10" s="185"/>
      <c r="AC10" s="779" t="s">
        <v>363</v>
      </c>
      <c r="AD10" s="779"/>
      <c r="AE10" s="779"/>
      <c r="AF10" s="779"/>
      <c r="AG10" s="779"/>
      <c r="AH10" s="779"/>
      <c r="AJ10" s="779" t="s">
        <v>4</v>
      </c>
      <c r="AK10" s="779"/>
      <c r="AL10" s="779"/>
      <c r="AM10" s="779"/>
      <c r="AN10" s="779"/>
      <c r="AO10" s="779"/>
    </row>
    <row r="11" spans="1:41" ht="20.100000000000001" customHeight="1" x14ac:dyDescent="0.2">
      <c r="D11" s="692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80" t="str">
        <f>IF(CAIXA.Modo,"Valores Aferidos (R$)","Valores Medidos (R$)")</f>
        <v>Valores Medidos (R$)</v>
      </c>
      <c r="Z11" s="780"/>
      <c r="AC11" s="781" t="s">
        <v>364</v>
      </c>
      <c r="AD11" s="781"/>
      <c r="AE11" s="781"/>
      <c r="AF11" s="781" t="s">
        <v>365</v>
      </c>
      <c r="AG11" s="781"/>
      <c r="AH11" s="781"/>
      <c r="AJ11" s="781" t="s">
        <v>364</v>
      </c>
      <c r="AK11" s="781"/>
      <c r="AL11" s="781"/>
      <c r="AM11" s="781" t="s">
        <v>365</v>
      </c>
      <c r="AN11" s="781"/>
      <c r="AO11" s="781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REFORMA DO CENTRO COMUNITÁRIO DE NOVA UNIÃO</v>
      </c>
      <c r="G14" s="463" t="str">
        <f>QCI!H14</f>
        <v>Em Análise</v>
      </c>
      <c r="H14" s="464">
        <f>QCI!I14</f>
        <v>994.03</v>
      </c>
      <c r="I14" s="465" t="str">
        <f ca="1">QCI!J14</f>
        <v>un</v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599993.04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1">
        <f>QCI!D15</f>
        <v>2</v>
      </c>
      <c r="F15" s="462" t="str">
        <f ca="1">QCI!G15</f>
        <v/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/>
      </c>
      <c r="K15" s="467" t="str">
        <f t="shared" ca="1" si="1"/>
        <v/>
      </c>
      <c r="L15" s="468">
        <f ca="1">QCI!$O15</f>
        <v>0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 t="e">
        <f ca="1">IF(ACOMPANHAMENTO&lt;&gt;"BM",0,SUMPRODUCT(OFFSET(BM!$M$15,$A15,0,$B15)*(OFFSET(BM!$A$15,$A15,0,$B15)="S")*OFFSET(ORÇAMENTO!AA$15,$A15,0,$B15)/(OFFSET(ORÇAMENTO!$X$15,$A15,0,$B15)+10^-12)))</f>
        <v>#N/A</v>
      </c>
      <c r="AK15" s="234" t="e">
        <f ca="1">IF(ACOMPANHAMENTO&lt;&gt;"BM",0,SUMPRODUCT(OFFSET(BM!$M$15,$A15,0,$B15)*(OFFSET(BM!$A$15,$A15,0,$B15)="S")*OFFSET(ORÇAMENTO!AB$15,$A15,0,$B15)/(OFFSET(ORÇAMENTO!$X$15,$A15,0,$B15)+10^-12)))</f>
        <v>#N/A</v>
      </c>
      <c r="AL15" s="234" t="e">
        <f ca="1">IF(ACOMPANHAMENTO&lt;&gt;"BM",0,OFFSET(BM!$M$15,$A15,0))</f>
        <v>#N/A</v>
      </c>
      <c r="AM15" s="234" t="e">
        <f ca="1">IF(ACOMPANHAMENTO&lt;&gt;"BM",0,SUMPRODUCT(OFFSET(BM!$O$15,$A15,0,$B15)*(OFFSET(BM!$A$15,$A15,0,$B15)="S")*OFFSET(ORÇAMENTO!AA$15,$A15,0,$B15)/(OFFSET(ORÇAMENTO!$X$15,$A15,0,$B15)+10^-12)))</f>
        <v>#N/A</v>
      </c>
      <c r="AN15" s="234" t="e">
        <f ca="1">IF(ACOMPANHAMENTO&lt;&gt;"BM",0,SUMPRODUCT(OFFSET(BM!$O$15,$A15,0,$B15)*(OFFSET(BM!$A$15,$A15,0,$B15)="S")*OFFSET(ORÇAMENTO!AB$15,$A15,0,$B15)/(OFFSET(ORÇAMENTO!$X$15,$A15,0,$B15)+10^-12)))</f>
        <v>#N/A</v>
      </c>
      <c r="AO15" s="234" t="e">
        <f ca="1">IF(ACOMPANHAMENTO&lt;&gt;"BM",0,OFFSET(BM!$O$15,$A15,0))</f>
        <v>#N/A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 t="e">
        <f ca="1">IF(ACOMPANHAMENTO&lt;&gt;"BM",0,SUMPRODUCT(OFFSET(BM!$M$15,$A16,0,$B16)*(OFFSET(BM!$A$15,$A16,0,$B16)="S")*OFFSET(ORÇAMENTO!AA$15,$A16,0,$B16)/(OFFSET(ORÇAMENTO!$X$15,$A16,0,$B16)+10^-12)))</f>
        <v>#N/A</v>
      </c>
      <c r="AK16" s="234" t="e">
        <f ca="1">IF(ACOMPANHAMENTO&lt;&gt;"BM",0,SUMPRODUCT(OFFSET(BM!$M$15,$A16,0,$B16)*(OFFSET(BM!$A$15,$A16,0,$B16)="S")*OFFSET(ORÇAMENTO!AB$15,$A16,0,$B16)/(OFFSET(ORÇAMENTO!$X$15,$A16,0,$B16)+10^-12)))</f>
        <v>#N/A</v>
      </c>
      <c r="AL16" s="234" t="e">
        <f ca="1">IF(ACOMPANHAMENTO&lt;&gt;"BM",0,OFFSET(BM!$M$15,$A16,0))</f>
        <v>#N/A</v>
      </c>
      <c r="AM16" s="234" t="e">
        <f ca="1">IF(ACOMPANHAMENTO&lt;&gt;"BM",0,SUMPRODUCT(OFFSET(BM!$O$15,$A16,0,$B16)*(OFFSET(BM!$A$15,$A16,0,$B16)="S")*OFFSET(ORÇAMENTO!AA$15,$A16,0,$B16)/(OFFSET(ORÇAMENTO!$X$15,$A16,0,$B16)+10^-12)))</f>
        <v>#N/A</v>
      </c>
      <c r="AN16" s="234" t="e">
        <f ca="1">IF(ACOMPANHAMENTO&lt;&gt;"BM",0,SUMPRODUCT(OFFSET(BM!$O$15,$A16,0,$B16)*(OFFSET(BM!$A$15,$A16,0,$B16)="S")*OFFSET(ORÇAMENTO!AB$15,$A16,0,$B16)/(OFFSET(ORÇAMENTO!$X$15,$A16,0,$B16)+10^-12)))</f>
        <v>#N/A</v>
      </c>
      <c r="AO16" s="234" t="e">
        <f ca="1">IF(ACOMPANHAMENTO&lt;&gt;"BM",0,OFFSET(BM!$O$15,$A16,0))</f>
        <v>#N/A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 t="e">
        <f ca="1">IF(ACOMPANHAMENTO&lt;&gt;"BM",0,SUMPRODUCT(OFFSET(BM!$M$15,$A17,0,$B17)*(OFFSET(BM!$A$15,$A17,0,$B17)="S")*OFFSET(ORÇAMENTO!AA$15,$A17,0,$B17)/(OFFSET(ORÇAMENTO!$X$15,$A17,0,$B17)+10^-12)))</f>
        <v>#N/A</v>
      </c>
      <c r="AK17" s="234" t="e">
        <f ca="1">IF(ACOMPANHAMENTO&lt;&gt;"BM",0,SUMPRODUCT(OFFSET(BM!$M$15,$A17,0,$B17)*(OFFSET(BM!$A$15,$A17,0,$B17)="S")*OFFSET(ORÇAMENTO!AB$15,$A17,0,$B17)/(OFFSET(ORÇAMENTO!$X$15,$A17,0,$B17)+10^-12)))</f>
        <v>#N/A</v>
      </c>
      <c r="AL17" s="234" t="e">
        <f ca="1">IF(ACOMPANHAMENTO&lt;&gt;"BM",0,OFFSET(BM!$M$15,$A17,0))</f>
        <v>#N/A</v>
      </c>
      <c r="AM17" s="234" t="e">
        <f ca="1">IF(ACOMPANHAMENTO&lt;&gt;"BM",0,SUMPRODUCT(OFFSET(BM!$O$15,$A17,0,$B17)*(OFFSET(BM!$A$15,$A17,0,$B17)="S")*OFFSET(ORÇAMENTO!AA$15,$A17,0,$B17)/(OFFSET(ORÇAMENTO!$X$15,$A17,0,$B17)+10^-12)))</f>
        <v>#N/A</v>
      </c>
      <c r="AN17" s="234" t="e">
        <f ca="1">IF(ACOMPANHAMENTO&lt;&gt;"BM",0,SUMPRODUCT(OFFSET(BM!$O$15,$A17,0,$B17)*(OFFSET(BM!$A$15,$A17,0,$B17)="S")*OFFSET(ORÇAMENTO!AB$15,$A17,0,$B17)/(OFFSET(ORÇAMENTO!$X$15,$A17,0,$B17)+10^-12)))</f>
        <v>#N/A</v>
      </c>
      <c r="AO17" s="234" t="e">
        <f ca="1">IF(ACOMPANHAMENTO&lt;&gt;"BM",0,OFFSET(BM!$O$15,$A17,0))</f>
        <v>#N/A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 t="e">
        <f ca="1">IF(ACOMPANHAMENTO&lt;&gt;"BM",0,SUMPRODUCT(OFFSET(BM!$M$15,$A18,0,$B18)*(OFFSET(BM!$A$15,$A18,0,$B18)="S")*OFFSET(ORÇAMENTO!AA$15,$A18,0,$B18)/(OFFSET(ORÇAMENTO!$X$15,$A18,0,$B18)+10^-12)))</f>
        <v>#N/A</v>
      </c>
      <c r="AK18" s="234" t="e">
        <f ca="1">IF(ACOMPANHAMENTO&lt;&gt;"BM",0,SUMPRODUCT(OFFSET(BM!$M$15,$A18,0,$B18)*(OFFSET(BM!$A$15,$A18,0,$B18)="S")*OFFSET(ORÇAMENTO!AB$15,$A18,0,$B18)/(OFFSET(ORÇAMENTO!$X$15,$A18,0,$B18)+10^-12)))</f>
        <v>#N/A</v>
      </c>
      <c r="AL18" s="234" t="e">
        <f ca="1">IF(ACOMPANHAMENTO&lt;&gt;"BM",0,OFFSET(BM!$M$15,$A18,0))</f>
        <v>#N/A</v>
      </c>
      <c r="AM18" s="234" t="e">
        <f ca="1">IF(ACOMPANHAMENTO&lt;&gt;"BM",0,SUMPRODUCT(OFFSET(BM!$O$15,$A18,0,$B18)*(OFFSET(BM!$A$15,$A18,0,$B18)="S")*OFFSET(ORÇAMENTO!AA$15,$A18,0,$B18)/(OFFSET(ORÇAMENTO!$X$15,$A18,0,$B18)+10^-12)))</f>
        <v>#N/A</v>
      </c>
      <c r="AN18" s="234" t="e">
        <f ca="1">IF(ACOMPANHAMENTO&lt;&gt;"BM",0,SUMPRODUCT(OFFSET(BM!$O$15,$A18,0,$B18)*(OFFSET(BM!$A$15,$A18,0,$B18)="S")*OFFSET(ORÇAMENTO!AB$15,$A18,0,$B18)/(OFFSET(ORÇAMENTO!$X$15,$A18,0,$B18)+10^-12)))</f>
        <v>#N/A</v>
      </c>
      <c r="AO18" s="234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 t="e">
        <f ca="1">IF(ACOMPANHAMENTO&lt;&gt;"BM",0,SUMPRODUCT(OFFSET(BM!$M$15,$A19,0,$B19)*(OFFSET(BM!$A$15,$A19,0,$B19)="S")*OFFSET(ORÇAMENTO!AA$15,$A19,0,$B19)/(OFFSET(ORÇAMENTO!$X$15,$A19,0,$B19)+10^-12)))</f>
        <v>#N/A</v>
      </c>
      <c r="AK19" s="234" t="e">
        <f ca="1">IF(ACOMPANHAMENTO&lt;&gt;"BM",0,SUMPRODUCT(OFFSET(BM!$M$15,$A19,0,$B19)*(OFFSET(BM!$A$15,$A19,0,$B19)="S")*OFFSET(ORÇAMENTO!AB$15,$A19,0,$B19)/(OFFSET(ORÇAMENTO!$X$15,$A19,0,$B19)+10^-12)))</f>
        <v>#N/A</v>
      </c>
      <c r="AL19" s="234" t="e">
        <f ca="1">IF(ACOMPANHAMENTO&lt;&gt;"BM",0,OFFSET(BM!$M$15,$A19,0))</f>
        <v>#N/A</v>
      </c>
      <c r="AM19" s="234" t="e">
        <f ca="1">IF(ACOMPANHAMENTO&lt;&gt;"BM",0,SUMPRODUCT(OFFSET(BM!$O$15,$A19,0,$B19)*(OFFSET(BM!$A$15,$A19,0,$B19)="S")*OFFSET(ORÇAMENTO!AA$15,$A19,0,$B19)/(OFFSET(ORÇAMENTO!$X$15,$A19,0,$B19)+10^-12)))</f>
        <v>#N/A</v>
      </c>
      <c r="AN19" s="234" t="e">
        <f ca="1">IF(ACOMPANHAMENTO&lt;&gt;"BM",0,SUMPRODUCT(OFFSET(BM!$O$15,$A19,0,$B19)*(OFFSET(BM!$A$15,$A19,0,$B19)="S")*OFFSET(ORÇAMENTO!AB$15,$A19,0,$B19)/(OFFSET(ORÇAMENTO!$X$15,$A19,0,$B19)+10^-12)))</f>
        <v>#N/A</v>
      </c>
      <c r="AO19" s="234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 t="e">
        <f ca="1">IF(ACOMPANHAMENTO&lt;&gt;"BM",0,SUMPRODUCT(OFFSET(BM!$M$15,$A20,0,$B20)*(OFFSET(BM!$A$15,$A20,0,$B20)="S")*OFFSET(ORÇAMENTO!AA$15,$A20,0,$B20)/(OFFSET(ORÇAMENTO!$X$15,$A20,0,$B20)+10^-12)))</f>
        <v>#N/A</v>
      </c>
      <c r="AK20" s="234" t="e">
        <f ca="1">IF(ACOMPANHAMENTO&lt;&gt;"BM",0,SUMPRODUCT(OFFSET(BM!$M$15,$A20,0,$B20)*(OFFSET(BM!$A$15,$A20,0,$B20)="S")*OFFSET(ORÇAMENTO!AB$15,$A20,0,$B20)/(OFFSET(ORÇAMENTO!$X$15,$A20,0,$B20)+10^-12)))</f>
        <v>#N/A</v>
      </c>
      <c r="AL20" s="234" t="e">
        <f ca="1">IF(ACOMPANHAMENTO&lt;&gt;"BM",0,OFFSET(BM!$M$15,$A20,0))</f>
        <v>#N/A</v>
      </c>
      <c r="AM20" s="234" t="e">
        <f ca="1">IF(ACOMPANHAMENTO&lt;&gt;"BM",0,SUMPRODUCT(OFFSET(BM!$O$15,$A20,0,$B20)*(OFFSET(BM!$A$15,$A20,0,$B20)="S")*OFFSET(ORÇAMENTO!AA$15,$A20,0,$B20)/(OFFSET(ORÇAMENTO!$X$15,$A20,0,$B20)+10^-12)))</f>
        <v>#N/A</v>
      </c>
      <c r="AN20" s="234" t="e">
        <f ca="1">IF(ACOMPANHAMENTO&lt;&gt;"BM",0,SUMPRODUCT(OFFSET(BM!$O$15,$A20,0,$B20)*(OFFSET(BM!$A$15,$A20,0,$B20)="S")*OFFSET(ORÇAMENTO!AB$15,$A20,0,$B20)/(OFFSET(ORÇAMENTO!$X$15,$A20,0,$B20)+10^-12)))</f>
        <v>#N/A</v>
      </c>
      <c r="AO20" s="234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 t="e">
        <f ca="1">IF(ACOMPANHAMENTO&lt;&gt;"BM",0,SUMPRODUCT(OFFSET(BM!$M$15,$A21,0,$B21)*(OFFSET(BM!$A$15,$A21,0,$B21)="S")*OFFSET(ORÇAMENTO!AA$15,$A21,0,$B21)/(OFFSET(ORÇAMENTO!$X$15,$A21,0,$B21)+10^-12)))</f>
        <v>#N/A</v>
      </c>
      <c r="AK21" s="234" t="e">
        <f ca="1">IF(ACOMPANHAMENTO&lt;&gt;"BM",0,SUMPRODUCT(OFFSET(BM!$M$15,$A21,0,$B21)*(OFFSET(BM!$A$15,$A21,0,$B21)="S")*OFFSET(ORÇAMENTO!AB$15,$A21,0,$B21)/(OFFSET(ORÇAMENTO!$X$15,$A21,0,$B21)+10^-12)))</f>
        <v>#N/A</v>
      </c>
      <c r="AL21" s="234" t="e">
        <f ca="1">IF(ACOMPANHAMENTO&lt;&gt;"BM",0,OFFSET(BM!$M$15,$A21,0))</f>
        <v>#N/A</v>
      </c>
      <c r="AM21" s="234" t="e">
        <f ca="1">IF(ACOMPANHAMENTO&lt;&gt;"BM",0,SUMPRODUCT(OFFSET(BM!$O$15,$A21,0,$B21)*(OFFSET(BM!$A$15,$A21,0,$B21)="S")*OFFSET(ORÇAMENTO!AA$15,$A21,0,$B21)/(OFFSET(ORÇAMENTO!$X$15,$A21,0,$B21)+10^-12)))</f>
        <v>#N/A</v>
      </c>
      <c r="AN21" s="234" t="e">
        <f ca="1">IF(ACOMPANHAMENTO&lt;&gt;"BM",0,SUMPRODUCT(OFFSET(BM!$O$15,$A21,0,$B21)*(OFFSET(BM!$A$15,$A21,0,$B21)="S")*OFFSET(ORÇAMENTO!AB$15,$A21,0,$B21)/(OFFSET(ORÇAMENTO!$X$15,$A21,0,$B21)+10^-12)))</f>
        <v>#N/A</v>
      </c>
      <c r="AO21" s="234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97" t="s">
        <v>375</v>
      </c>
      <c r="K24" s="798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99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800" t="str">
        <f>IF(import.recurso="FGTS","Financiamento","Repasse")</f>
        <v>Repasse</v>
      </c>
      <c r="K25" s="801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99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802" t="s">
        <v>380</v>
      </c>
      <c r="K26" s="803"/>
      <c r="L26" s="490">
        <f ca="1">QCI!M24</f>
        <v>599993.04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99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82" t="s">
        <v>357</v>
      </c>
      <c r="K27" s="78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99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84" t="s">
        <v>359</v>
      </c>
      <c r="K28" s="785"/>
      <c r="L28" s="501">
        <f ca="1">SUM(L13:OFFSET(L24,-1,0))</f>
        <v>599993.04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99"/>
      <c r="X28" s="505"/>
      <c r="Y28" s="506"/>
      <c r="Z28" s="507"/>
    </row>
    <row r="29" spans="1:41" x14ac:dyDescent="0.2">
      <c r="O29" s="786" t="str">
        <f ca="1">"Acumulado Anterior:  "&amp;TEXT($M$28/($L$28+10^-12),"0,00%")</f>
        <v>Acumulado Anterior:  0,00%</v>
      </c>
      <c r="P29" s="78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90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2"/>
      <c r="R31" s="106"/>
      <c r="S31" s="106"/>
      <c r="T31" s="106"/>
      <c r="U31" s="106"/>
    </row>
    <row r="32" spans="1:41" ht="12.75" customHeight="1" x14ac:dyDescent="0.2">
      <c r="E32" s="790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2"/>
      <c r="R32" s="106"/>
      <c r="S32" s="106"/>
      <c r="T32" s="106"/>
      <c r="U32" s="106"/>
      <c r="Y32" s="508"/>
      <c r="Z32" s="508"/>
    </row>
    <row r="33" spans="5:21" ht="12.75" customHeight="1" x14ac:dyDescent="0.2">
      <c r="E33" s="793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5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698" t="str">
        <f>Import.Município</f>
        <v>CEU AZUL - PR</v>
      </c>
      <c r="F35" s="698"/>
      <c r="G35" s="698"/>
      <c r="I35" s="509"/>
      <c r="J35" s="101"/>
      <c r="L35" s="721">
        <f>DADOS!$F$25</f>
        <v>45131</v>
      </c>
      <c r="M35" s="721"/>
      <c r="N35" s="721"/>
      <c r="O35" s="721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96" t="str">
        <f>IF(CAIXA.Modo,BM!X278,DADOS!F50)</f>
        <v>FRANCIELLY MATTEI DIAS LEMES</v>
      </c>
      <c r="N40" s="796"/>
      <c r="O40" s="796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96" t="str">
        <f>IF(CAIXA.Modo,BM!X279,DADOS!F51)</f>
        <v>TECNICA EM EDIFICAÇÕES</v>
      </c>
      <c r="N41" s="796"/>
      <c r="O41" s="796"/>
      <c r="R41" s="106"/>
      <c r="S41" s="106"/>
      <c r="T41" s="106"/>
      <c r="U41" s="106"/>
    </row>
    <row r="42" spans="5:21" x14ac:dyDescent="0.2">
      <c r="L42" s="95" t="s">
        <v>108</v>
      </c>
      <c r="M42" s="796" t="str">
        <f>IF(CAIXA.Modo,BM!X280,DADOS!F52)</f>
        <v>CRT04-03486316931</v>
      </c>
      <c r="N42" s="796"/>
      <c r="O42" s="796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72"/>
      <c r="G47" s="772"/>
      <c r="L47" s="95" t="s">
        <v>107</v>
      </c>
      <c r="M47" s="772"/>
      <c r="N47" s="772"/>
      <c r="O47" s="772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72"/>
      <c r="G48" s="772"/>
      <c r="L48" s="95" t="str">
        <f>IF(CAIXA.Modo,"Função:","Cargo:")</f>
        <v>Cargo:</v>
      </c>
      <c r="M48" s="772"/>
      <c r="N48" s="772"/>
      <c r="O48" s="772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72"/>
      <c r="G49" s="772"/>
      <c r="L49" s="95" t="str">
        <f>IF(CAIXA.Modo,"Matrícula:","")</f>
        <v/>
      </c>
      <c r="M49" s="772"/>
      <c r="N49" s="772"/>
      <c r="O49" s="772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08"/>
      <c r="C1" s="808"/>
      <c r="D1" s="66"/>
      <c r="E1" s="66"/>
      <c r="F1" s="66"/>
      <c r="G1" s="656" t="s">
        <v>139</v>
      </c>
    </row>
    <row r="2" spans="2:17" x14ac:dyDescent="0.2">
      <c r="B2" s="808"/>
      <c r="C2" s="808"/>
      <c r="D2" s="511"/>
      <c r="E2" s="511"/>
      <c r="F2" s="511"/>
      <c r="G2" s="657" t="s">
        <v>381</v>
      </c>
    </row>
    <row r="3" spans="2:17" ht="26.1" customHeight="1" x14ac:dyDescent="0.2">
      <c r="B3" s="808"/>
      <c r="C3" s="808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08"/>
      <c r="C4" s="808"/>
      <c r="D4" s="511"/>
      <c r="E4" s="511"/>
      <c r="F4" s="511"/>
      <c r="G4" s="511"/>
      <c r="I4" s="809" t="s">
        <v>383</v>
      </c>
      <c r="J4" s="804" t="s">
        <v>384</v>
      </c>
      <c r="K4" s="804" t="s">
        <v>385</v>
      </c>
      <c r="L4" s="804" t="s">
        <v>386</v>
      </c>
    </row>
    <row r="5" spans="2:17" x14ac:dyDescent="0.2">
      <c r="I5" s="809"/>
      <c r="J5" s="804"/>
      <c r="K5" s="804"/>
      <c r="L5" s="804"/>
    </row>
    <row r="6" spans="2:17" x14ac:dyDescent="0.2">
      <c r="B6" s="636" t="s">
        <v>387</v>
      </c>
      <c r="C6" s="805"/>
      <c r="D6" s="805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599993.04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06" t="str">
        <f>CONCATENATE(RRE!$E$35,", ",TEXT(RRE!$L$35,"dd"" de ""mmmm"" de ""aaaa"))</f>
        <v>CEU AZUL - PR, 24 de julho de 2023</v>
      </c>
      <c r="C8" s="806"/>
      <c r="D8" s="806"/>
      <c r="E8" s="806"/>
      <c r="F8" s="806"/>
      <c r="G8" s="806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07" t="s">
        <v>389</v>
      </c>
      <c r="C10" s="807"/>
      <c r="D10" s="807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441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07" t="str">
        <f ca="1">CONCATENATE(RRE.Numero,"ª"," Solicitação de ",IF(import.recurso="OGU","Desbloqueio","Desembolso")," de Recursos.")</f>
        <v>1ª Solicitação de Desembolso de Recursos.</v>
      </c>
      <c r="D14" s="807"/>
      <c r="E14" s="807"/>
      <c r="F14" s="807"/>
      <c r="G14" s="807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5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5"/>
      <c r="E15" s="815"/>
      <c r="F15" s="815"/>
      <c r="G15" s="815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5"/>
      <c r="D16" s="815"/>
      <c r="E16" s="815"/>
      <c r="F16" s="815"/>
      <c r="G16" s="815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6">
        <f>Import.DescLote</f>
        <v>0</v>
      </c>
      <c r="D18" s="816"/>
      <c r="E18" s="816"/>
      <c r="F18" s="816"/>
      <c r="G18" s="816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7" t="s">
        <v>394</v>
      </c>
      <c r="E28" s="817" t="str">
        <f ca="1">"Evolução da "&amp;RRE.Numero&amp;"ª Medição"</f>
        <v>Evolução da 1ª Medição</v>
      </c>
      <c r="F28" s="817" t="s">
        <v>395</v>
      </c>
      <c r="G28" s="817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7"/>
      <c r="E29" s="817"/>
      <c r="F29" s="817"/>
      <c r="G29" s="817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18" t="str">
        <f>IF(import.recurso="FGTS","Financiamento:","Repasse:")</f>
        <v>Repasse:</v>
      </c>
      <c r="C30" s="818"/>
      <c r="D30" s="648">
        <f ca="1">RRE!L25</f>
        <v>0</v>
      </c>
      <c r="E30" s="648">
        <f ca="1">RRE!N25</f>
        <v>0</v>
      </c>
      <c r="F30" s="819">
        <f ca="1">RRE!O25</f>
        <v>0</v>
      </c>
      <c r="G30" s="819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18" t="s">
        <v>396</v>
      </c>
      <c r="C31" s="818"/>
      <c r="D31" s="648">
        <f ca="1">RRE!L26</f>
        <v>599993.04</v>
      </c>
      <c r="E31" s="648">
        <f ca="1">RRE!N26</f>
        <v>0</v>
      </c>
      <c r="F31" s="819">
        <f ca="1">RRE!O26</f>
        <v>0</v>
      </c>
      <c r="G31" s="819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18" t="s">
        <v>284</v>
      </c>
      <c r="C32" s="818"/>
      <c r="D32" s="648">
        <f ca="1">RRE!L27</f>
        <v>0</v>
      </c>
      <c r="E32" s="648">
        <f ca="1">RRE!N27</f>
        <v>0</v>
      </c>
      <c r="F32" s="819">
        <f ca="1">RRE!O27</f>
        <v>0</v>
      </c>
      <c r="G32" s="819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18" t="s">
        <v>285</v>
      </c>
      <c r="C33" s="818"/>
      <c r="D33" s="648">
        <f ca="1">RRE!L28</f>
        <v>599993.04</v>
      </c>
      <c r="E33" s="648">
        <f ca="1">RRE!N28</f>
        <v>0</v>
      </c>
      <c r="F33" s="819">
        <f ca="1">RRE!O28</f>
        <v>0</v>
      </c>
      <c r="G33" s="819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18" t="s">
        <v>397</v>
      </c>
      <c r="C34" s="818"/>
      <c r="D34" s="649" t="s">
        <v>165</v>
      </c>
      <c r="E34" s="650">
        <f ca="1">RRE!$N$28/(RRE!$L$28+10^-12)</f>
        <v>0</v>
      </c>
      <c r="F34" s="822">
        <f ca="1">RRE!P24</f>
        <v>0</v>
      </c>
      <c r="G34" s="822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23" t="str">
        <f ca="1">IF(RRE.Numero&gt;1,"2. Encaminhamos ainda a documentação relativa à prestação de contas da etapa físico-financeira anterior.","")</f>
        <v/>
      </c>
      <c r="C37" s="823"/>
      <c r="D37" s="823"/>
      <c r="E37" s="823"/>
      <c r="F37" s="823"/>
      <c r="G37" s="823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23"/>
      <c r="C38" s="823"/>
      <c r="D38" s="823"/>
      <c r="E38" s="823"/>
      <c r="F38" s="823"/>
      <c r="G38" s="823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23" t="str">
        <f ca="1">IF(AND(RRE.Numero&gt;1,NOT(ISBLANK(Import.SICONV))),"3. Na oportunidade, informamos que a execução financeira da parcela anterior está devidamente comprovada no SICONV.","")</f>
        <v/>
      </c>
      <c r="C39" s="823"/>
      <c r="D39" s="823"/>
      <c r="E39" s="823"/>
      <c r="F39" s="823"/>
      <c r="G39" s="823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23"/>
      <c r="C40" s="823"/>
      <c r="D40" s="823"/>
      <c r="E40" s="823"/>
      <c r="F40" s="823"/>
      <c r="G40" s="823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23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23"/>
      <c r="D42" s="823"/>
      <c r="E42" s="823"/>
      <c r="F42" s="823"/>
      <c r="G42" s="823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23"/>
      <c r="C43" s="823"/>
      <c r="D43" s="823"/>
      <c r="E43" s="823"/>
      <c r="F43" s="823"/>
      <c r="G43" s="823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23"/>
      <c r="C44" s="823"/>
      <c r="D44" s="823"/>
      <c r="E44" s="823"/>
      <c r="F44" s="823"/>
      <c r="G44" s="823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23"/>
      <c r="C45" s="823"/>
      <c r="D45" s="823"/>
      <c r="E45" s="823"/>
      <c r="F45" s="823"/>
      <c r="G45" s="823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23"/>
      <c r="C46" s="823"/>
      <c r="D46" s="823"/>
      <c r="E46" s="823"/>
      <c r="F46" s="823"/>
      <c r="G46" s="823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20" t="str">
        <f>DADOS!$F$28</f>
        <v>LAURINDO SPEROTTO</v>
      </c>
      <c r="C54" s="820"/>
      <c r="D54" s="820"/>
      <c r="E54" s="820"/>
      <c r="F54" s="820"/>
      <c r="G54" s="820"/>
    </row>
    <row r="55" spans="2:7" x14ac:dyDescent="0.2">
      <c r="B55" s="820" t="str">
        <f>DADOS!$F$29</f>
        <v>PREFEITO</v>
      </c>
      <c r="C55" s="820"/>
      <c r="D55" s="820"/>
      <c r="E55" s="820"/>
      <c r="F55" s="820"/>
      <c r="G55" s="820"/>
    </row>
    <row r="56" spans="2:7" x14ac:dyDescent="0.2">
      <c r="B56" s="821"/>
      <c r="C56" s="821"/>
      <c r="D56" s="821"/>
      <c r="E56" s="821"/>
      <c r="F56" s="821"/>
      <c r="G56" s="821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2023-07-26T15:29:52Z</cp:lastPrinted>
  <dcterms:created xsi:type="dcterms:W3CDTF">1997-01-10T22:22:50Z</dcterms:created>
  <dcterms:modified xsi:type="dcterms:W3CDTF">2023-07-31T15:11:43Z</dcterms:modified>
</cp:coreProperties>
</file>